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Override46.xml" ContentType="application/vnd.openxmlformats-officedocument.themeOverride+xml"/>
  <Override PartName="/xl/charts/chart46.xml" ContentType="application/vnd.openxmlformats-officedocument.drawingml.chart+xml"/>
  <Override PartName="/xl/theme/themeOverride45.xml" ContentType="application/vnd.openxmlformats-officedocument.themeOverride+xml"/>
  <Override PartName="/xl/charts/chart45.xml" ContentType="application/vnd.openxmlformats-officedocument.drawingml.chart+xml"/>
  <Override PartName="/xl/charts/chart39.xml" ContentType="application/vnd.openxmlformats-officedocument.drawingml.chart+xml"/>
  <Override PartName="/xl/theme/themeOverride38.xml" ContentType="application/vnd.openxmlformats-officedocument.themeOverride+xml"/>
  <Override PartName="/xl/charts/chart38.xml" ContentType="application/vnd.openxmlformats-officedocument.drawingml.chart+xml"/>
  <Override PartName="/xl/theme/themeOverride37.xml" ContentType="application/vnd.openxmlformats-officedocument.themeOverride+xml"/>
  <Override PartName="/xl/charts/chart37.xml" ContentType="application/vnd.openxmlformats-officedocument.drawingml.chart+xml"/>
  <Override PartName="/xl/theme/themeOverride36.xml" ContentType="application/vnd.openxmlformats-officedocument.themeOverride+xml"/>
  <Override PartName="/xl/charts/chart36.xml" ContentType="application/vnd.openxmlformats-officedocument.drawingml.chart+xml"/>
  <Override PartName="/xl/drawings/drawing9.xml" ContentType="application/vnd.openxmlformats-officedocument.drawing+xml"/>
  <Override PartName="/xl/worksheets/sheet1.xml" ContentType="application/vnd.openxmlformats-officedocument.spreadsheetml.worksheet+xml"/>
  <Override PartName="/xl/theme/themeOverride39.xml" ContentType="application/vnd.openxmlformats-officedocument.themeOverride+xml"/>
  <Override PartName="/xl/charts/chart40.xml" ContentType="application/vnd.openxmlformats-officedocument.drawingml.chart+xml"/>
  <Override PartName="/xl/theme/themeOverride40.xml" ContentType="application/vnd.openxmlformats-officedocument.themeOverride+xml"/>
  <Override PartName="/xl/theme/themeOverride44.xml" ContentType="application/vnd.openxmlformats-officedocument.themeOverride+xml"/>
  <Override PartName="/xl/charts/chart44.xml" ContentType="application/vnd.openxmlformats-officedocument.drawingml.chart+xml"/>
  <Override PartName="/xl/theme/themeOverride43.xml" ContentType="application/vnd.openxmlformats-officedocument.themeOverride+xml"/>
  <Override PartName="/xl/charts/chart43.xml" ContentType="application/vnd.openxmlformats-officedocument.drawingml.chart+xml"/>
  <Override PartName="/xl/drawings/drawing10.xml" ContentType="application/vnd.openxmlformats-officedocument.drawing+xml"/>
  <Override PartName="/xl/theme/themeOverride42.xml" ContentType="application/vnd.openxmlformats-officedocument.themeOverride+xml"/>
  <Override PartName="/xl/charts/chart42.xml" ContentType="application/vnd.openxmlformats-officedocument.drawingml.chart+xml"/>
  <Override PartName="/xl/theme/themeOverride41.xml" ContentType="application/vnd.openxmlformats-officedocument.themeOverride+xml"/>
  <Override PartName="/xl/charts/chart41.xml" ContentType="application/vnd.openxmlformats-officedocument.drawingml.chart+xml"/>
  <Override PartName="/xl/charts/chart35.xml" ContentType="application/vnd.openxmlformats-officedocument.drawingml.chart+xml"/>
  <Override PartName="/xl/theme/themeOverride35.xml" ContentType="application/vnd.openxmlformats-officedocument.themeOverride+xml"/>
  <Override PartName="/xl/charts/chart34.xml" ContentType="application/vnd.openxmlformats-officedocument.drawingml.chart+xml"/>
  <Override PartName="/xl/theme/themeOverride11.xml" ContentType="application/vnd.openxmlformats-officedocument.themeOverride+xml"/>
  <Override PartName="/xl/charts/chart11.xml" ContentType="application/vnd.openxmlformats-officedocument.drawingml.chart+xml"/>
  <Override PartName="/xl/theme/themeOverride10.xml" ContentType="application/vnd.openxmlformats-officedocument.themeOverride+xml"/>
  <Override PartName="/xl/charts/chart10.xml" ContentType="application/vnd.openxmlformats-officedocument.drawingml.chart+xml"/>
  <Override PartName="/xl/theme/themeOverride9.xml" ContentType="application/vnd.openxmlformats-officedocument.themeOverride+xml"/>
  <Override PartName="/xl/charts/chart9.xml" ContentType="application/vnd.openxmlformats-officedocument.drawingml.chart+xml"/>
  <Override PartName="/xl/theme/themeOverride8.xml" ContentType="application/vnd.openxmlformats-officedocument.themeOverride+xml"/>
  <Override PartName="/xl/charts/chart8.xml" ContentType="application/vnd.openxmlformats-officedocument.drawingml.chart+xml"/>
  <Override PartName="/xl/theme/themeOverride7.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drawings/drawing3.xml" ContentType="application/vnd.openxmlformats-officedocument.drawing+xml"/>
  <Override PartName="/xl/charts/chart17.xml" ContentType="application/vnd.openxmlformats-officedocument.drawingml.chart+xml"/>
  <Override PartName="/xl/theme/themeOverride16.xml" ContentType="application/vnd.openxmlformats-officedocument.themeOverride+xml"/>
  <Override PartName="/xl/charts/chart16.xml" ContentType="application/vnd.openxmlformats-officedocument.drawingml.chart+xml"/>
  <Override PartName="/xl/theme/themeOverride15.xml" ContentType="application/vnd.openxmlformats-officedocument.themeOverride+xml"/>
  <Override PartName="/xl/charts/chart15.xml" ContentType="application/vnd.openxmlformats-officedocument.drawingml.chart+xml"/>
  <Override PartName="/xl/theme/themeOverride14.xml" ContentType="application/vnd.openxmlformats-officedocument.themeOverride+xml"/>
  <Override PartName="/xl/charts/chart14.xml" ContentType="application/vnd.openxmlformats-officedocument.drawingml.chart+xml"/>
  <Override PartName="/xl/theme/themeOverride13.xml" ContentType="application/vnd.openxmlformats-officedocument.themeOverride+xml"/>
  <Override PartName="/xl/charts/chart13.xml" ContentType="application/vnd.openxmlformats-officedocument.drawingml.chart+xml"/>
  <Override PartName="/xl/charts/chart7.xml" ContentType="application/vnd.openxmlformats-officedocument.drawingml.chart+xml"/>
  <Override PartName="/xl/theme/themeOverride6.xml" ContentType="application/vnd.openxmlformats-officedocument.themeOverride+xml"/>
  <Override PartName="/xl/charts/chart6.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theme/themeOverride5.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harts/chart4.xml" ContentType="application/vnd.openxmlformats-officedocument.drawingml.chart+xml"/>
  <Override PartName="/xl/drawings/drawing2.xml" ContentType="application/vnd.openxmlformats-officedocument.drawing+xml"/>
  <Override PartName="/xl/theme/themeOverride3.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2.xml" ContentType="application/vnd.openxmlformats-officedocument.drawingml.chart+xml"/>
  <Override PartName="/xl/theme/themeOverride34.xml" ContentType="application/vnd.openxmlformats-officedocument.themeOverride+xml"/>
  <Override PartName="/xl/theme/themeOverride17.xml" ContentType="application/vnd.openxmlformats-officedocument.themeOverride+xml"/>
  <Override PartName="/xl/theme/themeOverride18.xml" ContentType="application/vnd.openxmlformats-officedocument.themeOverride+xml"/>
  <Override PartName="/xl/theme/themeOverride28.xml" ContentType="application/vnd.openxmlformats-officedocument.themeOverride+xml"/>
  <Override PartName="/xl/charts/chart28.xml" ContentType="application/vnd.openxmlformats-officedocument.drawingml.chart+xml"/>
  <Override PartName="/xl/theme/themeOverride27.xml" ContentType="application/vnd.openxmlformats-officedocument.themeOverride+xml"/>
  <Override PartName="/xl/charts/chart27.xml" ContentType="application/vnd.openxmlformats-officedocument.drawingml.chart+xml"/>
  <Override PartName="/xl/drawings/drawing6.xml" ContentType="application/vnd.openxmlformats-officedocument.drawing+xml"/>
  <Override PartName="/xl/theme/themeOverride26.xml" ContentType="application/vnd.openxmlformats-officedocument.themeOverride+xml"/>
  <Override PartName="/xl/charts/chart26.xml" ContentType="application/vnd.openxmlformats-officedocument.drawingml.chart+xml"/>
  <Override PartName="/xl/theme/themeOverride25.xml" ContentType="application/vnd.openxmlformats-officedocument.themeOverride+xml"/>
  <Override PartName="/xl/charts/chart25.xml" ContentType="application/vnd.openxmlformats-officedocument.drawingml.chart+xml"/>
  <Override PartName="/xl/charts/chart29.xml" ContentType="application/vnd.openxmlformats-officedocument.drawingml.chart+xml"/>
  <Override PartName="/xl/theme/themeOverride29.xml" ContentType="application/vnd.openxmlformats-officedocument.themeOverride+xml"/>
  <Override PartName="/xl/drawings/drawing7.xml" ContentType="application/vnd.openxmlformats-officedocument.drawing+xml"/>
  <Override PartName="/xl/theme/themeOverride33.xml" ContentType="application/vnd.openxmlformats-officedocument.themeOverride+xml"/>
  <Override PartName="/xl/charts/chart33.xml" ContentType="application/vnd.openxmlformats-officedocument.drawingml.chart+xml"/>
  <Override PartName="/xl/drawings/drawing8.xml" ContentType="application/vnd.openxmlformats-officedocument.drawing+xml"/>
  <Override PartName="/xl/theme/themeOverride32.xml" ContentType="application/vnd.openxmlformats-officedocument.themeOverride+xml"/>
  <Override PartName="/xl/charts/chart32.xml" ContentType="application/vnd.openxmlformats-officedocument.drawingml.chart+xml"/>
  <Override PartName="/xl/theme/themeOverride31.xml" ContentType="application/vnd.openxmlformats-officedocument.themeOverride+xml"/>
  <Override PartName="/xl/charts/chart31.xml" ContentType="application/vnd.openxmlformats-officedocument.drawingml.chart+xml"/>
  <Override PartName="/xl/theme/themeOverride30.xml" ContentType="application/vnd.openxmlformats-officedocument.themeOverride+xml"/>
  <Override PartName="/xl/charts/chart30.xml" ContentType="application/vnd.openxmlformats-officedocument.drawingml.chart+xml"/>
  <Override PartName="/xl/charts/chart18.xml" ContentType="application/vnd.openxmlformats-officedocument.drawingml.chart+xml"/>
  <Override PartName="/xl/charts/chart21.xml" ContentType="application/vnd.openxmlformats-officedocument.drawingml.chart+xml"/>
  <Override PartName="/xl/charts/chart23.xml" ContentType="application/vnd.openxmlformats-officedocument.drawingml.chart+xml"/>
  <Override PartName="/xl/theme/themeOverride22.xml" ContentType="application/vnd.openxmlformats-officedocument.themeOverride+xml"/>
  <Override PartName="/xl/charts/chart22.xml" ContentType="application/vnd.openxmlformats-officedocument.drawingml.chart+xml"/>
  <Override PartName="/xl/theme/themeOverride20.xml" ContentType="application/vnd.openxmlformats-officedocument.themeOverride+xml"/>
  <Override PartName="/xl/theme/themeOverride21.xml" ContentType="application/vnd.openxmlformats-officedocument.themeOverride+xml"/>
  <Override PartName="/xl/theme/themeOverride23.xml" ContentType="application/vnd.openxmlformats-officedocument.themeOverride+xml"/>
  <Override PartName="/xl/charts/chart24.xml" ContentType="application/vnd.openxmlformats-officedocument.drawingml.chart+xml"/>
  <Override PartName="/xl/charts/chart19.xml" ContentType="application/vnd.openxmlformats-officedocument.drawingml.chart+xml"/>
  <Override PartName="/xl/theme/themeOverride19.xml" ContentType="application/vnd.openxmlformats-officedocument.themeOverride+xml"/>
  <Override PartName="/xl/drawings/drawing5.xml" ContentType="application/vnd.openxmlformats-officedocument.drawing+xml"/>
  <Override PartName="/xl/charts/chart20.xml" ContentType="application/vnd.openxmlformats-officedocument.drawingml.chart+xml"/>
  <Override PartName="/xl/theme/themeOverride24.xml" ContentType="application/vnd.openxmlformats-officedocument.themeOverride+xml"/>
  <Override PartName="/xl/drawings/drawing4.xml" ContentType="application/vnd.openxmlformats-officedocument.drawing+xml"/>
  <Override PartName="/xl/comments2.xml" ContentType="application/vnd.openxmlformats-officedocument.spreadsheetml.comments+xml"/>
  <Override PartName="/xl/externalLinks/externalLink1.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10" windowWidth="18660" windowHeight="6730" tabRatio="822" activeTab="1"/>
  </bookViews>
  <sheets>
    <sheet name="ValueofHousework" sheetId="1" r:id="rId1"/>
    <sheet name="CostofFamilyChange" sheetId="2" r:id="rId2"/>
    <sheet name="CostCrime" sheetId="3" r:id="rId3"/>
    <sheet name="CostPersPollutionAbate" sheetId="4" r:id="rId4"/>
    <sheet name="VolunteerWork" sheetId="5" r:id="rId5"/>
    <sheet name="CostLeisureTime" sheetId="6" r:id="rId6"/>
    <sheet name="ValueHigherEd" sheetId="7" r:id="rId7"/>
    <sheet name="HighwaysStreets" sheetId="8" r:id="rId8"/>
    <sheet name="CostCommuting" sheetId="9" r:id="rId9"/>
    <sheet name="CostMotorVehicleCrashes" sheetId="10" r:id="rId10"/>
  </sheets>
  <externalReferences>
    <externalReference r:id="rId11"/>
  </externalReferences>
  <calcPr calcId="145621"/>
</workbook>
</file>

<file path=xl/calcChain.xml><?xml version="1.0" encoding="utf-8"?>
<calcChain xmlns="http://schemas.openxmlformats.org/spreadsheetml/2006/main">
  <c r="BD23" i="10" l="1"/>
  <c r="BB23" i="10"/>
  <c r="BA23" i="10"/>
  <c r="AZ23" i="10"/>
  <c r="AY23" i="10"/>
  <c r="AY17" i="10" s="1"/>
  <c r="AY16" i="10" s="1"/>
  <c r="AX23" i="10"/>
  <c r="AX17" i="10" s="1"/>
  <c r="AX16" i="10" s="1"/>
  <c r="AW23" i="10"/>
  <c r="AW17" i="10" s="1"/>
  <c r="AV23" i="10"/>
  <c r="AV17" i="10" s="1"/>
  <c r="AV16" i="10" s="1"/>
  <c r="AU23" i="10"/>
  <c r="AT23" i="10"/>
  <c r="AS23" i="10"/>
  <c r="AR23" i="10"/>
  <c r="AR17" i="10" s="1"/>
  <c r="AR16" i="10" s="1"/>
  <c r="AQ23" i="10"/>
  <c r="AQ17" i="10" s="1"/>
  <c r="AQ16" i="10" s="1"/>
  <c r="AP23" i="10"/>
  <c r="AP17" i="10" s="1"/>
  <c r="AP16" i="10" s="1"/>
  <c r="AO23" i="10"/>
  <c r="AO17" i="10" s="1"/>
  <c r="AN23" i="10"/>
  <c r="AN17" i="10" s="1"/>
  <c r="AN16" i="10" s="1"/>
  <c r="AM23" i="10"/>
  <c r="AL23" i="10"/>
  <c r="AK23" i="10"/>
  <c r="AJ23" i="10"/>
  <c r="AI23" i="10"/>
  <c r="AI17" i="10" s="1"/>
  <c r="AI16" i="10" s="1"/>
  <c r="AH23" i="10"/>
  <c r="AH17" i="10" s="1"/>
  <c r="AH16" i="10" s="1"/>
  <c r="AG23" i="10"/>
  <c r="AG17" i="10" s="1"/>
  <c r="AG16" i="10" s="1"/>
  <c r="AF23" i="10"/>
  <c r="AF17" i="10" s="1"/>
  <c r="AF16" i="10" s="1"/>
  <c r="AE23" i="10"/>
  <c r="AD23" i="10"/>
  <c r="AC23" i="10"/>
  <c r="AB23" i="10"/>
  <c r="AB17" i="10" s="1"/>
  <c r="AB16" i="10" s="1"/>
  <c r="AA23" i="10"/>
  <c r="AA17" i="10" s="1"/>
  <c r="AA16" i="10" s="1"/>
  <c r="Z23" i="10"/>
  <c r="Z17" i="10" s="1"/>
  <c r="Z16" i="10" s="1"/>
  <c r="Y23" i="10"/>
  <c r="Y17" i="10" s="1"/>
  <c r="X23" i="10"/>
  <c r="X17" i="10" s="1"/>
  <c r="X16" i="10" s="1"/>
  <c r="W23" i="10"/>
  <c r="BD17" i="10"/>
  <c r="BC17" i="10"/>
  <c r="BB17" i="10"/>
  <c r="BB16" i="10" s="1"/>
  <c r="BB3" i="10" s="1"/>
  <c r="BA17" i="10"/>
  <c r="BA16" i="10" s="1"/>
  <c r="BA3" i="10" s="1"/>
  <c r="AZ17" i="10"/>
  <c r="AZ16" i="10" s="1"/>
  <c r="AU17" i="10"/>
  <c r="AT17" i="10"/>
  <c r="AT16" i="10" s="1"/>
  <c r="AS17" i="10"/>
  <c r="AS16" i="10" s="1"/>
  <c r="AM17" i="10"/>
  <c r="AL17" i="10"/>
  <c r="AL16" i="10" s="1"/>
  <c r="AK17" i="10"/>
  <c r="AK16" i="10" s="1"/>
  <c r="AJ17" i="10"/>
  <c r="AJ16" i="10" s="1"/>
  <c r="AE17" i="10"/>
  <c r="AD17" i="10"/>
  <c r="AD16" i="10" s="1"/>
  <c r="AC17" i="10"/>
  <c r="AC16" i="10" s="1"/>
  <c r="W17" i="10"/>
  <c r="V17" i="10"/>
  <c r="V16" i="10" s="1"/>
  <c r="U17" i="10"/>
  <c r="U16" i="10" s="1"/>
  <c r="T17" i="10"/>
  <c r="S17" i="10" s="1"/>
  <c r="BD16" i="10"/>
  <c r="BD3" i="10" s="1"/>
  <c r="BC16" i="10"/>
  <c r="AW16" i="10"/>
  <c r="AU16" i="10"/>
  <c r="AO16" i="10"/>
  <c r="AM16" i="10"/>
  <c r="AE16" i="10"/>
  <c r="Y16" i="10"/>
  <c r="W16" i="10"/>
  <c r="T16" i="10"/>
  <c r="BD6" i="10"/>
  <c r="BC6" i="10"/>
  <c r="BB6" i="10"/>
  <c r="BA6" i="10"/>
  <c r="BD5" i="10"/>
  <c r="BC5" i="10"/>
  <c r="BB5" i="10"/>
  <c r="BA5" i="10"/>
  <c r="BD4" i="10"/>
  <c r="BC4" i="10"/>
  <c r="BB4" i="10"/>
  <c r="BA4" i="10"/>
  <c r="BC3" i="10"/>
  <c r="BC43" i="9"/>
  <c r="AY43" i="9"/>
  <c r="AX43" i="9"/>
  <c r="AX9" i="9" s="1"/>
  <c r="AW43" i="9"/>
  <c r="AV43" i="9"/>
  <c r="AV9" i="9" s="1"/>
  <c r="AQ43" i="9"/>
  <c r="BC41" i="9"/>
  <c r="BC8" i="9" s="1"/>
  <c r="BB41" i="9"/>
  <c r="BA41" i="9"/>
  <c r="BA43" i="9" s="1"/>
  <c r="BA9" i="9" s="1"/>
  <c r="AZ41" i="9"/>
  <c r="AZ43" i="9" s="1"/>
  <c r="AY41" i="9"/>
  <c r="AX41" i="9"/>
  <c r="AW41" i="9"/>
  <c r="AV41" i="9"/>
  <c r="AU41" i="9"/>
  <c r="AU43" i="9" s="1"/>
  <c r="AT41" i="9"/>
  <c r="AT43" i="9" s="1"/>
  <c r="AQ41" i="9"/>
  <c r="BB40" i="9"/>
  <c r="BB7" i="9" s="1"/>
  <c r="BA40" i="9"/>
  <c r="BA7" i="9" s="1"/>
  <c r="AT40" i="9"/>
  <c r="BD39" i="9"/>
  <c r="BC39" i="9"/>
  <c r="BB39" i="9"/>
  <c r="BA39" i="9"/>
  <c r="AZ39" i="9"/>
  <c r="AZ40" i="9" s="1"/>
  <c r="AY39" i="9"/>
  <c r="AY40" i="9" s="1"/>
  <c r="AY7" i="9" s="1"/>
  <c r="AX39" i="9"/>
  <c r="AW39" i="9"/>
  <c r="AW6" i="9" s="1"/>
  <c r="AV39" i="9"/>
  <c r="AU39" i="9"/>
  <c r="AT39" i="9"/>
  <c r="AQ39" i="9"/>
  <c r="AQ40" i="9" s="1"/>
  <c r="AI39" i="9"/>
  <c r="AI40" i="9" s="1"/>
  <c r="AH39" i="9"/>
  <c r="AG39" i="9"/>
  <c r="BC38" i="9"/>
  <c r="BB38" i="9"/>
  <c r="BA38" i="9"/>
  <c r="AZ38" i="9"/>
  <c r="AY38" i="9"/>
  <c r="AX38" i="9"/>
  <c r="AW38" i="9"/>
  <c r="AV38" i="9"/>
  <c r="AV40" i="9" s="1"/>
  <c r="AV7" i="9" s="1"/>
  <c r="AU38" i="9"/>
  <c r="AU40" i="9" s="1"/>
  <c r="AT38" i="9"/>
  <c r="AS38" i="9"/>
  <c r="AR38" i="9"/>
  <c r="AQ38" i="9"/>
  <c r="AP38" i="9"/>
  <c r="AO38" i="9"/>
  <c r="AN38" i="9"/>
  <c r="AM38" i="9"/>
  <c r="AL38" i="9"/>
  <c r="AK38" i="9"/>
  <c r="AJ38" i="9"/>
  <c r="AI38" i="9"/>
  <c r="AH38" i="9"/>
  <c r="AG38" i="9"/>
  <c r="AG40" i="9" s="1"/>
  <c r="AF38" i="9"/>
  <c r="AE38" i="9"/>
  <c r="AD38" i="9"/>
  <c r="AC38" i="9"/>
  <c r="AB38" i="9"/>
  <c r="AA38" i="9"/>
  <c r="Z38" i="9"/>
  <c r="Y38" i="9"/>
  <c r="X38" i="9"/>
  <c r="W38" i="9"/>
  <c r="V38" i="9"/>
  <c r="U38" i="9"/>
  <c r="T38" i="9"/>
  <c r="S38" i="9"/>
  <c r="R38" i="9"/>
  <c r="Q38" i="9"/>
  <c r="P38" i="9"/>
  <c r="O38" i="9"/>
  <c r="N38" i="9"/>
  <c r="M38" i="9"/>
  <c r="L38" i="9"/>
  <c r="K38" i="9"/>
  <c r="J38" i="9"/>
  <c r="I38" i="9"/>
  <c r="H38" i="9"/>
  <c r="G38" i="9"/>
  <c r="F38" i="9"/>
  <c r="E38" i="9"/>
  <c r="D38" i="9"/>
  <c r="C38" i="9"/>
  <c r="BD35" i="9"/>
  <c r="BD41" i="9" s="1"/>
  <c r="AR34" i="9"/>
  <c r="AI34" i="9"/>
  <c r="AI41" i="9" s="1"/>
  <c r="AI43" i="9" s="1"/>
  <c r="AH34" i="9"/>
  <c r="AH41" i="9" s="1"/>
  <c r="AH43" i="9" s="1"/>
  <c r="AG34" i="9"/>
  <c r="AG41" i="9" s="1"/>
  <c r="AG43" i="9" s="1"/>
  <c r="W34" i="9"/>
  <c r="W41" i="9" s="1"/>
  <c r="W43" i="9" s="1"/>
  <c r="M34" i="9"/>
  <c r="AW32" i="9"/>
  <c r="AX30" i="9"/>
  <c r="AX32" i="9" s="1"/>
  <c r="AW30" i="9"/>
  <c r="U30" i="9"/>
  <c r="U32" i="9" s="1"/>
  <c r="BA29" i="9"/>
  <c r="BB29" i="9" s="1"/>
  <c r="AA29" i="9"/>
  <c r="AB29" i="9" s="1"/>
  <c r="AC29" i="9" s="1"/>
  <c r="AD29" i="9" s="1"/>
  <c r="AE29" i="9" s="1"/>
  <c r="V29" i="9"/>
  <c r="W29" i="9" s="1"/>
  <c r="X29" i="9" s="1"/>
  <c r="Y29" i="9" s="1"/>
  <c r="Z29" i="9" s="1"/>
  <c r="S29" i="9"/>
  <c r="T29" i="9" s="1"/>
  <c r="U29" i="9" s="1"/>
  <c r="BC28" i="9"/>
  <c r="BB28" i="9"/>
  <c r="BA28" i="9"/>
  <c r="BA30" i="9" s="1"/>
  <c r="BA32" i="9" s="1"/>
  <c r="AZ28" i="9"/>
  <c r="AZ30" i="9" s="1"/>
  <c r="AZ32" i="9" s="1"/>
  <c r="AY28" i="9"/>
  <c r="AY30" i="9" s="1"/>
  <c r="AY32" i="9" s="1"/>
  <c r="AX28" i="9"/>
  <c r="AW28" i="9"/>
  <c r="AV28" i="9"/>
  <c r="AU28" i="9"/>
  <c r="AT28" i="9"/>
  <c r="AS28" i="9"/>
  <c r="AR28" i="9"/>
  <c r="AQ28" i="9"/>
  <c r="AP28" i="9"/>
  <c r="AO28" i="9"/>
  <c r="AN28" i="9"/>
  <c r="AM28" i="9"/>
  <c r="AL28" i="9"/>
  <c r="AK28" i="9"/>
  <c r="AJ28" i="9"/>
  <c r="AI28" i="9"/>
  <c r="AH28" i="9"/>
  <c r="AG28" i="9"/>
  <c r="AF28" i="9"/>
  <c r="AE28" i="9"/>
  <c r="V28" i="9"/>
  <c r="U28" i="9"/>
  <c r="K28" i="9"/>
  <c r="AZ26" i="9"/>
  <c r="AZ3" i="9" s="1"/>
  <c r="BC9" i="9"/>
  <c r="AZ9" i="9"/>
  <c r="AY9" i="9"/>
  <c r="AW9" i="9"/>
  <c r="BA8" i="9"/>
  <c r="AZ8" i="9"/>
  <c r="AY8" i="9"/>
  <c r="AX8" i="9"/>
  <c r="AW8" i="9"/>
  <c r="AV8" i="9"/>
  <c r="AZ7" i="9"/>
  <c r="BD6" i="9"/>
  <c r="BC6" i="9"/>
  <c r="BB6" i="9"/>
  <c r="BA6" i="9"/>
  <c r="AZ6" i="9"/>
  <c r="AY6" i="9"/>
  <c r="AX6" i="9"/>
  <c r="AV6" i="9"/>
  <c r="BB5" i="9"/>
  <c r="BA5" i="9"/>
  <c r="AZ5" i="9"/>
  <c r="AY5" i="9"/>
  <c r="AV5" i="9"/>
  <c r="AZ4" i="9"/>
  <c r="AW24" i="8"/>
  <c r="AV24" i="8"/>
  <c r="AU24" i="8"/>
  <c r="AT24" i="8"/>
  <c r="AS24" i="8"/>
  <c r="AR24" i="8"/>
  <c r="AQ24" i="8"/>
  <c r="AP24" i="8"/>
  <c r="AO24" i="8"/>
  <c r="AN24" i="8"/>
  <c r="AM24" i="8"/>
  <c r="AL24" i="8"/>
  <c r="AK24" i="8"/>
  <c r="AJ24" i="8"/>
  <c r="W24" i="8"/>
  <c r="M24" i="8"/>
  <c r="C22" i="8"/>
  <c r="C24" i="8" s="1"/>
  <c r="BA21" i="8"/>
  <c r="BA5" i="8" s="1"/>
  <c r="AZ21" i="8"/>
  <c r="AY21" i="8"/>
  <c r="AW21" i="8"/>
  <c r="AV21" i="8"/>
  <c r="AS21" i="8"/>
  <c r="AS17" i="8" s="1"/>
  <c r="AR21" i="8"/>
  <c r="AP21" i="8"/>
  <c r="AP17" i="8" s="1"/>
  <c r="AK21" i="8"/>
  <c r="AK17" i="8" s="1"/>
  <c r="AJ21" i="8"/>
  <c r="AI21" i="8"/>
  <c r="AI17" i="8" s="1"/>
  <c r="AG21" i="8"/>
  <c r="AF21" i="8"/>
  <c r="AC21" i="8"/>
  <c r="AC17" i="8" s="1"/>
  <c r="AB21" i="8"/>
  <c r="Y21" i="8"/>
  <c r="Y17" i="8" s="1"/>
  <c r="U21" i="8"/>
  <c r="T21" i="8"/>
  <c r="T17" i="8" s="1"/>
  <c r="Q21" i="8"/>
  <c r="Q17" i="8" s="1"/>
  <c r="P21" i="8"/>
  <c r="L21" i="8"/>
  <c r="K21" i="8"/>
  <c r="K17" i="8" s="1"/>
  <c r="J21" i="8"/>
  <c r="J17" i="8" s="1"/>
  <c r="I21" i="8"/>
  <c r="I17" i="8" s="1"/>
  <c r="D21" i="8"/>
  <c r="D17" i="8" s="1"/>
  <c r="BD19" i="8"/>
  <c r="BD21" i="8" s="1"/>
  <c r="BC19" i="8"/>
  <c r="BC21" i="8" s="1"/>
  <c r="BC5" i="8" s="1"/>
  <c r="BB19" i="8"/>
  <c r="BB21" i="8" s="1"/>
  <c r="BA19" i="8"/>
  <c r="AZ19" i="8"/>
  <c r="AY19" i="8"/>
  <c r="AX19" i="8"/>
  <c r="AX21" i="8" s="1"/>
  <c r="AW19" i="8"/>
  <c r="AV19" i="8"/>
  <c r="AU19" i="8"/>
  <c r="AU21" i="8" s="1"/>
  <c r="AU17" i="8" s="1"/>
  <c r="AT19" i="8"/>
  <c r="AT21" i="8" s="1"/>
  <c r="AS19" i="8"/>
  <c r="AR19" i="8"/>
  <c r="AQ19" i="8"/>
  <c r="AQ21" i="8" s="1"/>
  <c r="AQ17" i="8" s="1"/>
  <c r="AP19" i="8"/>
  <c r="AO19" i="8"/>
  <c r="AO21" i="8" s="1"/>
  <c r="AN19" i="8"/>
  <c r="AN21" i="8" s="1"/>
  <c r="AN17" i="8" s="1"/>
  <c r="AM19" i="8"/>
  <c r="AM21" i="8" s="1"/>
  <c r="AL19" i="8"/>
  <c r="AL21" i="8" s="1"/>
  <c r="AL17" i="8" s="1"/>
  <c r="AK19" i="8"/>
  <c r="AJ19" i="8"/>
  <c r="AI19" i="8"/>
  <c r="AH19" i="8"/>
  <c r="AH21" i="8" s="1"/>
  <c r="AH17" i="8" s="1"/>
  <c r="AG19" i="8"/>
  <c r="AF19" i="8"/>
  <c r="AE19" i="8"/>
  <c r="AE21" i="8" s="1"/>
  <c r="AE17" i="8" s="1"/>
  <c r="AD19" i="8"/>
  <c r="AD21" i="8" s="1"/>
  <c r="AD17" i="8" s="1"/>
  <c r="AC19" i="8"/>
  <c r="AB19" i="8"/>
  <c r="AA19" i="8"/>
  <c r="AA21" i="8" s="1"/>
  <c r="AA17" i="8" s="1"/>
  <c r="Z19" i="8"/>
  <c r="Z21" i="8" s="1"/>
  <c r="Z17" i="8" s="1"/>
  <c r="Y19" i="8"/>
  <c r="X19" i="8"/>
  <c r="X21" i="8" s="1"/>
  <c r="W19" i="8"/>
  <c r="W21" i="8" s="1"/>
  <c r="V19" i="8"/>
  <c r="V21" i="8" s="1"/>
  <c r="V17" i="8" s="1"/>
  <c r="U19" i="8"/>
  <c r="T19" i="8"/>
  <c r="S19" i="8"/>
  <c r="S21" i="8" s="1"/>
  <c r="R19" i="8"/>
  <c r="R21" i="8" s="1"/>
  <c r="R17" i="8" s="1"/>
  <c r="Q19" i="8"/>
  <c r="P19" i="8"/>
  <c r="O19" i="8"/>
  <c r="O21" i="8" s="1"/>
  <c r="N19" i="8"/>
  <c r="N21" i="8" s="1"/>
  <c r="M19" i="8"/>
  <c r="M21" i="8" s="1"/>
  <c r="M17" i="8" s="1"/>
  <c r="L19" i="8"/>
  <c r="K19" i="8"/>
  <c r="J19" i="8"/>
  <c r="I19" i="8"/>
  <c r="H19" i="8"/>
  <c r="H21" i="8" s="1"/>
  <c r="H17" i="8" s="1"/>
  <c r="G19" i="8"/>
  <c r="G21" i="8" s="1"/>
  <c r="F19" i="8"/>
  <c r="F21" i="8" s="1"/>
  <c r="F17" i="8" s="1"/>
  <c r="E19" i="8"/>
  <c r="E21" i="8" s="1"/>
  <c r="D19" i="8"/>
  <c r="C19" i="8"/>
  <c r="C21" i="8" s="1"/>
  <c r="BC17" i="8"/>
  <c r="BC3" i="8" s="1"/>
  <c r="AZ17" i="8"/>
  <c r="AZ3" i="8" s="1"/>
  <c r="AV17" i="8"/>
  <c r="AT17" i="8"/>
  <c r="AR17" i="8"/>
  <c r="AO17" i="8"/>
  <c r="AM17" i="8"/>
  <c r="AJ17" i="8"/>
  <c r="AG17" i="8"/>
  <c r="AF17" i="8"/>
  <c r="AB17" i="8"/>
  <c r="X17" i="8"/>
  <c r="W17" i="8"/>
  <c r="U17" i="8"/>
  <c r="S17" i="8"/>
  <c r="P17" i="8"/>
  <c r="O17" i="8"/>
  <c r="N17" i="8"/>
  <c r="L17" i="8"/>
  <c r="G17" i="8"/>
  <c r="E17" i="8"/>
  <c r="C17" i="8"/>
  <c r="AZ5" i="8"/>
  <c r="BD4" i="8"/>
  <c r="BC4" i="8"/>
  <c r="BB4" i="8"/>
  <c r="BA4" i="8"/>
  <c r="AZ4" i="8"/>
  <c r="AY4" i="8"/>
  <c r="AX4" i="8"/>
  <c r="AW4" i="8"/>
  <c r="AU18" i="7"/>
  <c r="AS18" i="7"/>
  <c r="AT18" i="7" s="1"/>
  <c r="AG18" i="7"/>
  <c r="AH18" i="7" s="1"/>
  <c r="AH19" i="7" s="1"/>
  <c r="AH14" i="7" s="1"/>
  <c r="W18" i="7"/>
  <c r="V18" i="7" s="1"/>
  <c r="BD16" i="7"/>
  <c r="AR15" i="7"/>
  <c r="AJ15" i="7"/>
  <c r="AK15" i="7" s="1"/>
  <c r="AL15" i="7" s="1"/>
  <c r="AM15" i="7" s="1"/>
  <c r="AN15" i="7" s="1"/>
  <c r="AO15" i="7" s="1"/>
  <c r="AP15" i="7" s="1"/>
  <c r="AI15" i="7"/>
  <c r="AH15" i="7"/>
  <c r="Z15" i="7"/>
  <c r="AA15" i="7" s="1"/>
  <c r="AB15" i="7" s="1"/>
  <c r="AC15" i="7" s="1"/>
  <c r="AD15" i="7" s="1"/>
  <c r="AE15" i="7" s="1"/>
  <c r="AF15" i="7" s="1"/>
  <c r="X15" i="7"/>
  <c r="Y15" i="7" s="1"/>
  <c r="P15" i="7"/>
  <c r="Q15" i="7" s="1"/>
  <c r="R15" i="7" s="1"/>
  <c r="S15" i="7" s="1"/>
  <c r="T15" i="7" s="1"/>
  <c r="U15" i="7" s="1"/>
  <c r="V15" i="7" s="1"/>
  <c r="N15" i="7"/>
  <c r="O15" i="7" s="1"/>
  <c r="M15" i="7"/>
  <c r="K15" i="7"/>
  <c r="L15" i="7" s="1"/>
  <c r="G15" i="7"/>
  <c r="H15" i="7" s="1"/>
  <c r="I15" i="7" s="1"/>
  <c r="J15" i="7" s="1"/>
  <c r="F15" i="7"/>
  <c r="E15" i="7"/>
  <c r="C15" i="7"/>
  <c r="D15" i="7" s="1"/>
  <c r="BD4" i="7"/>
  <c r="BC4" i="7"/>
  <c r="BB4" i="7"/>
  <c r="BA4" i="7"/>
  <c r="AZ4" i="7"/>
  <c r="AY4" i="7"/>
  <c r="AQ4" i="7"/>
  <c r="AW28" i="6"/>
  <c r="AW16" i="6" s="1"/>
  <c r="AS28" i="6"/>
  <c r="AS16" i="6" s="1"/>
  <c r="AP28" i="6"/>
  <c r="AP16" i="6" s="1"/>
  <c r="AN28" i="6"/>
  <c r="AK28" i="6"/>
  <c r="AK16" i="6" s="1"/>
  <c r="AI28" i="6"/>
  <c r="AI16" i="6" s="1"/>
  <c r="Z28" i="6"/>
  <c r="X28" i="6"/>
  <c r="U28" i="6"/>
  <c r="U16" i="6" s="1"/>
  <c r="R28" i="6"/>
  <c r="Q28" i="6"/>
  <c r="Q16" i="6" s="1"/>
  <c r="J28" i="6"/>
  <c r="I28" i="6"/>
  <c r="I16" i="6" s="1"/>
  <c r="H28" i="6"/>
  <c r="H16" i="6" s="1"/>
  <c r="E28" i="6"/>
  <c r="E16" i="6" s="1"/>
  <c r="BD27" i="6"/>
  <c r="BC27" i="6"/>
  <c r="BB27" i="6"/>
  <c r="BA27" i="6"/>
  <c r="AZ27" i="6"/>
  <c r="AY27" i="6"/>
  <c r="AY28" i="6" s="1"/>
  <c r="AY16" i="6" s="1"/>
  <c r="AX27" i="6"/>
  <c r="AX28" i="6" s="1"/>
  <c r="AW27" i="6"/>
  <c r="AV27" i="6"/>
  <c r="AV28" i="6" s="1"/>
  <c r="AV16" i="6" s="1"/>
  <c r="AU27" i="6"/>
  <c r="AT27" i="6"/>
  <c r="AT28" i="6" s="1"/>
  <c r="AT16" i="6" s="1"/>
  <c r="AS27" i="6"/>
  <c r="AR27" i="6"/>
  <c r="AQ27" i="6"/>
  <c r="AQ28" i="6" s="1"/>
  <c r="AQ16" i="6" s="1"/>
  <c r="AP27" i="6"/>
  <c r="AO27" i="6"/>
  <c r="AN27" i="6"/>
  <c r="AM27" i="6"/>
  <c r="AL27" i="6"/>
  <c r="AL28" i="6" s="1"/>
  <c r="AK27" i="6"/>
  <c r="AJ27" i="6"/>
  <c r="AI27" i="6"/>
  <c r="AH27" i="6"/>
  <c r="AH28" i="6" s="1"/>
  <c r="AG27" i="6"/>
  <c r="AG28" i="6" s="1"/>
  <c r="AG16" i="6" s="1"/>
  <c r="AF27" i="6"/>
  <c r="AF28" i="6" s="1"/>
  <c r="AF16" i="6" s="1"/>
  <c r="AE27" i="6"/>
  <c r="AD27" i="6"/>
  <c r="AD28" i="6" s="1"/>
  <c r="AD16" i="6" s="1"/>
  <c r="AC27" i="6"/>
  <c r="AB27" i="6"/>
  <c r="AA27" i="6"/>
  <c r="AA28" i="6" s="1"/>
  <c r="AA16" i="6" s="1"/>
  <c r="Z27" i="6"/>
  <c r="Y27" i="6"/>
  <c r="X27" i="6"/>
  <c r="W27" i="6"/>
  <c r="V27" i="6"/>
  <c r="V28" i="6" s="1"/>
  <c r="U27" i="6"/>
  <c r="T27" i="6"/>
  <c r="S27" i="6"/>
  <c r="S28" i="6" s="1"/>
  <c r="S16" i="6" s="1"/>
  <c r="R27" i="6"/>
  <c r="Q27" i="6"/>
  <c r="P27" i="6"/>
  <c r="P28" i="6" s="1"/>
  <c r="P16" i="6" s="1"/>
  <c r="O27" i="6"/>
  <c r="N27" i="6"/>
  <c r="N28" i="6" s="1"/>
  <c r="M27" i="6"/>
  <c r="L27" i="6"/>
  <c r="K27" i="6"/>
  <c r="K28" i="6" s="1"/>
  <c r="K16" i="6" s="1"/>
  <c r="J27" i="6"/>
  <c r="I27" i="6"/>
  <c r="H27" i="6"/>
  <c r="G27" i="6"/>
  <c r="F27" i="6"/>
  <c r="F28" i="6" s="1"/>
  <c r="E27" i="6"/>
  <c r="D27" i="6"/>
  <c r="C27" i="6"/>
  <c r="C28" i="6" s="1"/>
  <c r="C16" i="6" s="1"/>
  <c r="AZ24" i="6"/>
  <c r="AY24" i="6"/>
  <c r="AX24" i="6"/>
  <c r="AW24" i="6"/>
  <c r="AV24" i="6"/>
  <c r="AU24" i="6"/>
  <c r="AT24" i="6"/>
  <c r="AS24" i="6"/>
  <c r="AR24" i="6"/>
  <c r="AR28" i="6" s="1"/>
  <c r="AR16" i="6" s="1"/>
  <c r="AQ24" i="6"/>
  <c r="AP24" i="6"/>
  <c r="AO24" i="6"/>
  <c r="AN24" i="6"/>
  <c r="AM24" i="6"/>
  <c r="AL24" i="6"/>
  <c r="AK24" i="6"/>
  <c r="AJ24" i="6"/>
  <c r="AJ28" i="6" s="1"/>
  <c r="AJ16" i="6" s="1"/>
  <c r="AI24" i="6"/>
  <c r="AH24" i="6"/>
  <c r="AG24" i="6"/>
  <c r="AF24" i="6"/>
  <c r="AE24" i="6"/>
  <c r="AE28" i="6" s="1"/>
  <c r="AE16" i="6" s="1"/>
  <c r="AD24" i="6"/>
  <c r="AC24" i="6"/>
  <c r="AB24" i="6"/>
  <c r="AB28" i="6" s="1"/>
  <c r="AB16" i="6" s="1"/>
  <c r="AA24" i="6"/>
  <c r="Z24" i="6"/>
  <c r="Y24" i="6"/>
  <c r="X24" i="6"/>
  <c r="W24" i="6"/>
  <c r="V24" i="6"/>
  <c r="U24" i="6"/>
  <c r="T24" i="6"/>
  <c r="S24" i="6"/>
  <c r="R24" i="6"/>
  <c r="Q24" i="6"/>
  <c r="P24" i="6"/>
  <c r="O24" i="6"/>
  <c r="N24" i="6"/>
  <c r="M24" i="6"/>
  <c r="L24" i="6"/>
  <c r="L28" i="6" s="1"/>
  <c r="L16" i="6" s="1"/>
  <c r="K24" i="6"/>
  <c r="J24" i="6"/>
  <c r="I24" i="6"/>
  <c r="H24" i="6"/>
  <c r="G24" i="6"/>
  <c r="F24" i="6"/>
  <c r="E24" i="6"/>
  <c r="D24" i="6"/>
  <c r="C24" i="6"/>
  <c r="AK22" i="6"/>
  <c r="AL22" i="6" s="1"/>
  <c r="AM22" i="6" s="1"/>
  <c r="AN22" i="6" s="1"/>
  <c r="AO22" i="6" s="1"/>
  <c r="AP22" i="6" s="1"/>
  <c r="AQ22" i="6" s="1"/>
  <c r="AR22" i="6" s="1"/>
  <c r="AS22" i="6" s="1"/>
  <c r="AT22" i="6" s="1"/>
  <c r="AU22" i="6" s="1"/>
  <c r="AV22" i="6" s="1"/>
  <c r="AW22" i="6" s="1"/>
  <c r="AX22" i="6" s="1"/>
  <c r="AY22" i="6" s="1"/>
  <c r="AZ22" i="6" s="1"/>
  <c r="BA22" i="6" s="1"/>
  <c r="K22" i="6"/>
  <c r="J22" i="6"/>
  <c r="I22" i="6" s="1"/>
  <c r="H22" i="6" s="1"/>
  <c r="G22" i="6"/>
  <c r="F22" i="6" s="1"/>
  <c r="E22" i="6" s="1"/>
  <c r="D22" i="6" s="1"/>
  <c r="C22" i="6" s="1"/>
  <c r="BD21" i="6"/>
  <c r="BC21" i="6"/>
  <c r="BB21" i="6"/>
  <c r="BA21" i="6"/>
  <c r="AZ21" i="6"/>
  <c r="AY21" i="6"/>
  <c r="AX21" i="6"/>
  <c r="AW21" i="6"/>
  <c r="AV21" i="6"/>
  <c r="AU21" i="6"/>
  <c r="AT21" i="6"/>
  <c r="AF19" i="6"/>
  <c r="AG22" i="6" s="1"/>
  <c r="AH22" i="6" s="1"/>
  <c r="AI22" i="6" s="1"/>
  <c r="AJ22" i="6" s="1"/>
  <c r="V19" i="6"/>
  <c r="P19" i="6"/>
  <c r="Q22" i="6" s="1"/>
  <c r="R22" i="6" s="1"/>
  <c r="S22" i="6" s="1"/>
  <c r="T22" i="6" s="1"/>
  <c r="U22" i="6" s="1"/>
  <c r="L19" i="6"/>
  <c r="AX16" i="6"/>
  <c r="AN16" i="6"/>
  <c r="AL16" i="6"/>
  <c r="AH16" i="6"/>
  <c r="Z16" i="6"/>
  <c r="X16" i="6"/>
  <c r="V16" i="6"/>
  <c r="R16" i="6"/>
  <c r="N16" i="6"/>
  <c r="J16" i="6"/>
  <c r="F16" i="6"/>
  <c r="BB29" i="5"/>
  <c r="BB15" i="5" s="1"/>
  <c r="BB3" i="5" s="1"/>
  <c r="AY29" i="5"/>
  <c r="AX29" i="5"/>
  <c r="AX15" i="5" s="1"/>
  <c r="AX3" i="5" s="1"/>
  <c r="AW29" i="5"/>
  <c r="AW15" i="5" s="1"/>
  <c r="AV29" i="5"/>
  <c r="AU29" i="5"/>
  <c r="AT29" i="5"/>
  <c r="AT15" i="5" s="1"/>
  <c r="AT3" i="5" s="1"/>
  <c r="AS29" i="5"/>
  <c r="AR29" i="5"/>
  <c r="AQ29" i="5"/>
  <c r="AP29" i="5"/>
  <c r="AO29" i="5"/>
  <c r="AO15" i="5" s="1"/>
  <c r="AN29" i="5"/>
  <c r="AN15" i="5" s="1"/>
  <c r="AM29" i="5"/>
  <c r="AL29" i="5"/>
  <c r="AL15" i="5" s="1"/>
  <c r="AL3" i="5" s="1"/>
  <c r="AK29" i="5"/>
  <c r="AJ29" i="5"/>
  <c r="AJ15" i="5" s="1"/>
  <c r="AJ3" i="5" s="1"/>
  <c r="AI29" i="5"/>
  <c r="AH29" i="5"/>
  <c r="AG29" i="5"/>
  <c r="AG15" i="5" s="1"/>
  <c r="AF29" i="5"/>
  <c r="AE29" i="5"/>
  <c r="AD29" i="5"/>
  <c r="AC29" i="5"/>
  <c r="AB29" i="5"/>
  <c r="AB15" i="5" s="1"/>
  <c r="AA29" i="5"/>
  <c r="Z29" i="5"/>
  <c r="Y29" i="5"/>
  <c r="Y15" i="5" s="1"/>
  <c r="X29" i="5"/>
  <c r="W29" i="5"/>
  <c r="V29" i="5"/>
  <c r="V15" i="5" s="1"/>
  <c r="V3" i="5" s="1"/>
  <c r="U29" i="5"/>
  <c r="T29" i="5"/>
  <c r="T15" i="5" s="1"/>
  <c r="S29" i="5"/>
  <c r="R29" i="5"/>
  <c r="R15" i="5" s="1"/>
  <c r="R3" i="5" s="1"/>
  <c r="Q29" i="5"/>
  <c r="Q15" i="5" s="1"/>
  <c r="P29" i="5"/>
  <c r="O29" i="5"/>
  <c r="N29" i="5"/>
  <c r="M29" i="5"/>
  <c r="L29" i="5"/>
  <c r="K29" i="5"/>
  <c r="J29" i="5"/>
  <c r="J15" i="5" s="1"/>
  <c r="I29" i="5"/>
  <c r="I15" i="5" s="1"/>
  <c r="I3" i="5" s="1"/>
  <c r="H29" i="5"/>
  <c r="H15" i="5" s="1"/>
  <c r="G29" i="5"/>
  <c r="F29" i="5"/>
  <c r="E29" i="5"/>
  <c r="D29" i="5"/>
  <c r="D15" i="5" s="1"/>
  <c r="D3" i="5" s="1"/>
  <c r="C29" i="5"/>
  <c r="BC27" i="5"/>
  <c r="BB27" i="5"/>
  <c r="BB4" i="5" s="1"/>
  <c r="BB5" i="5" s="1"/>
  <c r="BA27" i="5"/>
  <c r="BA29" i="5" s="1"/>
  <c r="BA15" i="5" s="1"/>
  <c r="BA3" i="5" s="1"/>
  <c r="AZ27" i="5"/>
  <c r="AZ29" i="5" s="1"/>
  <c r="AM25" i="5"/>
  <c r="X25" i="5"/>
  <c r="P25" i="5"/>
  <c r="O25" i="5"/>
  <c r="N25" i="5" s="1"/>
  <c r="M25" i="5"/>
  <c r="L25" i="5" s="1"/>
  <c r="K25" i="5" s="1"/>
  <c r="J25" i="5" s="1"/>
  <c r="I25" i="5" s="1"/>
  <c r="H25" i="5" s="1"/>
  <c r="G25" i="5" s="1"/>
  <c r="F25" i="5" s="1"/>
  <c r="E25" i="5" s="1"/>
  <c r="D25" i="5" s="1"/>
  <c r="C25" i="5" s="1"/>
  <c r="AS24" i="5"/>
  <c r="AF24" i="5"/>
  <c r="R25" i="5" s="1"/>
  <c r="BD18" i="5"/>
  <c r="BD27" i="5" s="1"/>
  <c r="AZ15" i="5"/>
  <c r="AZ3" i="5" s="1"/>
  <c r="AY15" i="5"/>
  <c r="AV15" i="5"/>
  <c r="AU15" i="5"/>
  <c r="AU3" i="5" s="1"/>
  <c r="AS15" i="5"/>
  <c r="AR15" i="5"/>
  <c r="AQ15" i="5"/>
  <c r="AP15" i="5"/>
  <c r="AP3" i="5" s="1"/>
  <c r="AM15" i="5"/>
  <c r="AM3" i="5" s="1"/>
  <c r="AK15" i="5"/>
  <c r="AI15" i="5"/>
  <c r="AH15" i="5"/>
  <c r="AH3" i="5" s="1"/>
  <c r="AF15" i="5"/>
  <c r="AF3" i="5" s="1"/>
  <c r="AE15" i="5"/>
  <c r="AE3" i="5" s="1"/>
  <c r="AD15" i="5"/>
  <c r="AD3" i="5" s="1"/>
  <c r="AC15" i="5"/>
  <c r="AA15" i="5"/>
  <c r="Z15" i="5"/>
  <c r="X15" i="5"/>
  <c r="X3" i="5" s="1"/>
  <c r="W15" i="5"/>
  <c r="W3" i="5" s="1"/>
  <c r="U15" i="5"/>
  <c r="S15" i="5"/>
  <c r="P15" i="5"/>
  <c r="P3" i="5" s="1"/>
  <c r="O15" i="5"/>
  <c r="O3" i="5" s="1"/>
  <c r="N15" i="5"/>
  <c r="N3" i="5" s="1"/>
  <c r="M15" i="5"/>
  <c r="L15" i="5"/>
  <c r="K15" i="5"/>
  <c r="G15" i="5"/>
  <c r="G3" i="5" s="1"/>
  <c r="F15" i="5"/>
  <c r="F3" i="5" s="1"/>
  <c r="E15" i="5"/>
  <c r="C15" i="5"/>
  <c r="AZ5" i="5"/>
  <c r="AX5" i="5"/>
  <c r="AV5" i="5"/>
  <c r="BA4" i="5"/>
  <c r="AZ4" i="5"/>
  <c r="BA5" i="5" s="1"/>
  <c r="AY4" i="5"/>
  <c r="AY5" i="5" s="1"/>
  <c r="AX4" i="5"/>
  <c r="AW4" i="5"/>
  <c r="AV4" i="5"/>
  <c r="AW5" i="5" s="1"/>
  <c r="AU4" i="5"/>
  <c r="AU5" i="5" s="1"/>
  <c r="AT4" i="5"/>
  <c r="AT5" i="5" s="1"/>
  <c r="AS4" i="5"/>
  <c r="AR4" i="5"/>
  <c r="AQ4" i="5"/>
  <c r="AQ5" i="5" s="1"/>
  <c r="AY3" i="5"/>
  <c r="AW3" i="5"/>
  <c r="AV3" i="5"/>
  <c r="AS3" i="5"/>
  <c r="AR3" i="5"/>
  <c r="AQ3" i="5"/>
  <c r="AO3" i="5"/>
  <c r="AN3" i="5"/>
  <c r="AK3" i="5"/>
  <c r="AI3" i="5"/>
  <c r="AG3" i="5"/>
  <c r="AC3" i="5"/>
  <c r="AB3" i="5"/>
  <c r="AA3" i="5"/>
  <c r="Z3" i="5"/>
  <c r="Y3" i="5"/>
  <c r="U3" i="5"/>
  <c r="T3" i="5"/>
  <c r="S3" i="5"/>
  <c r="Q3" i="5"/>
  <c r="M3" i="5"/>
  <c r="L3" i="5"/>
  <c r="K3" i="5"/>
  <c r="J3" i="5"/>
  <c r="H3" i="5"/>
  <c r="E3" i="5"/>
  <c r="C3" i="5"/>
  <c r="BD38" i="4"/>
  <c r="BC38" i="4"/>
  <c r="BB38" i="4"/>
  <c r="BA38" i="4"/>
  <c r="AZ38"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I38" i="4"/>
  <c r="H38" i="4"/>
  <c r="G38" i="4"/>
  <c r="F38" i="4"/>
  <c r="E38" i="4"/>
  <c r="D38" i="4"/>
  <c r="C38" i="4"/>
  <c r="AP35" i="4"/>
  <c r="AG35" i="4" s="1"/>
  <c r="BC34" i="4"/>
  <c r="BB34" i="4"/>
  <c r="BA34" i="4"/>
  <c r="AZ34" i="4"/>
  <c r="AY34" i="4"/>
  <c r="AX34" i="4"/>
  <c r="AW34" i="4"/>
  <c r="AV34" i="4"/>
  <c r="AU34" i="4"/>
  <c r="AQ34" i="4"/>
  <c r="AG34" i="4"/>
  <c r="W34" i="4"/>
  <c r="M34" i="4"/>
  <c r="C34" i="4"/>
  <c r="AZ29" i="4"/>
  <c r="AZ5" i="4" s="1"/>
  <c r="AG29" i="4"/>
  <c r="AG5" i="4" s="1"/>
  <c r="AF29" i="4"/>
  <c r="AD29" i="4"/>
  <c r="AB29" i="4"/>
  <c r="Z29" i="4"/>
  <c r="Y29" i="4"/>
  <c r="V29" i="4"/>
  <c r="T29" i="4"/>
  <c r="R29" i="4"/>
  <c r="Q29" i="4"/>
  <c r="N29" i="4"/>
  <c r="L29" i="4"/>
  <c r="J29" i="4"/>
  <c r="I29" i="4"/>
  <c r="F29" i="4"/>
  <c r="D29" i="4"/>
  <c r="AG28" i="4"/>
  <c r="AF28" i="4"/>
  <c r="AE28" i="4"/>
  <c r="AE29" i="4" s="1"/>
  <c r="AD28" i="4"/>
  <c r="AC28" i="4"/>
  <c r="AC29" i="4" s="1"/>
  <c r="AB28" i="4"/>
  <c r="AA28" i="4"/>
  <c r="AA29" i="4" s="1"/>
  <c r="Z28" i="4"/>
  <c r="Y28" i="4"/>
  <c r="X28" i="4"/>
  <c r="X29" i="4" s="1"/>
  <c r="W28" i="4"/>
  <c r="W29" i="4" s="1"/>
  <c r="V28" i="4"/>
  <c r="U28" i="4"/>
  <c r="U29" i="4" s="1"/>
  <c r="T28" i="4"/>
  <c r="S28" i="4"/>
  <c r="S29" i="4" s="1"/>
  <c r="R28" i="4"/>
  <c r="Q28" i="4"/>
  <c r="P28" i="4"/>
  <c r="P29" i="4" s="1"/>
  <c r="O28" i="4"/>
  <c r="O29" i="4" s="1"/>
  <c r="N28" i="4"/>
  <c r="M28" i="4"/>
  <c r="M29" i="4" s="1"/>
  <c r="L28" i="4"/>
  <c r="K28" i="4"/>
  <c r="K29" i="4" s="1"/>
  <c r="J28" i="4"/>
  <c r="I28" i="4"/>
  <c r="H28" i="4"/>
  <c r="H29" i="4" s="1"/>
  <c r="G28" i="4"/>
  <c r="G29" i="4" s="1"/>
  <c r="F28" i="4"/>
  <c r="E28" i="4"/>
  <c r="E29" i="4" s="1"/>
  <c r="D28" i="4"/>
  <c r="C28" i="4"/>
  <c r="C29" i="4" s="1"/>
  <c r="BC27" i="4"/>
  <c r="BD26" i="4" s="1"/>
  <c r="BD27" i="4" s="1"/>
  <c r="BB27" i="4"/>
  <c r="BA27" i="4"/>
  <c r="AZ27" i="4"/>
  <c r="BA26" i="4"/>
  <c r="AG26" i="4"/>
  <c r="AH26" i="4" s="1"/>
  <c r="AH27" i="4" s="1"/>
  <c r="AH24" i="4" s="1"/>
  <c r="AH25" i="4" s="1"/>
  <c r="AH29" i="4" s="1"/>
  <c r="Y26" i="4"/>
  <c r="Z26" i="4" s="1"/>
  <c r="AA26" i="4" s="1"/>
  <c r="AB26" i="4" s="1"/>
  <c r="AC26" i="4" s="1"/>
  <c r="AD26" i="4" s="1"/>
  <c r="AE26" i="4" s="1"/>
  <c r="AF26" i="4" s="1"/>
  <c r="X26" i="4"/>
  <c r="Q26" i="4"/>
  <c r="R26" i="4" s="1"/>
  <c r="S26" i="4" s="1"/>
  <c r="T26" i="4" s="1"/>
  <c r="U26" i="4" s="1"/>
  <c r="V26" i="4" s="1"/>
  <c r="N26" i="4"/>
  <c r="O26" i="4" s="1"/>
  <c r="P26" i="4" s="1"/>
  <c r="E26" i="4"/>
  <c r="F26" i="4" s="1"/>
  <c r="G26" i="4" s="1"/>
  <c r="H26" i="4" s="1"/>
  <c r="I26" i="4" s="1"/>
  <c r="J26" i="4" s="1"/>
  <c r="K26" i="4" s="1"/>
  <c r="L26" i="4" s="1"/>
  <c r="C26" i="4"/>
  <c r="D26" i="4" s="1"/>
  <c r="BC25" i="4"/>
  <c r="BC29" i="4" s="1"/>
  <c r="BC5" i="4" s="1"/>
  <c r="BB25" i="4"/>
  <c r="BB29" i="4" s="1"/>
  <c r="BA25" i="4"/>
  <c r="BA29" i="4" s="1"/>
  <c r="BA5" i="4" s="1"/>
  <c r="AZ25" i="4"/>
  <c r="AY25" i="4"/>
  <c r="AG25" i="4"/>
  <c r="BG24" i="4"/>
  <c r="BD24" i="4"/>
  <c r="BD25" i="4" s="1"/>
  <c r="BD29" i="4" s="1"/>
  <c r="Y24" i="4"/>
  <c r="Z24" i="4" s="1"/>
  <c r="AA24" i="4" s="1"/>
  <c r="AB24" i="4" s="1"/>
  <c r="AC24" i="4" s="1"/>
  <c r="AD24" i="4" s="1"/>
  <c r="AE24" i="4" s="1"/>
  <c r="AF24" i="4" s="1"/>
  <c r="X24" i="4"/>
  <c r="P24" i="4"/>
  <c r="Q24" i="4" s="1"/>
  <c r="R24" i="4" s="1"/>
  <c r="S24" i="4" s="1"/>
  <c r="T24" i="4" s="1"/>
  <c r="U24" i="4" s="1"/>
  <c r="V24" i="4" s="1"/>
  <c r="O24" i="4"/>
  <c r="N24" i="4"/>
  <c r="D24" i="4"/>
  <c r="E24" i="4" s="1"/>
  <c r="F24" i="4" s="1"/>
  <c r="G24" i="4" s="1"/>
  <c r="H24" i="4" s="1"/>
  <c r="I24" i="4" s="1"/>
  <c r="J24" i="4" s="1"/>
  <c r="K24" i="4" s="1"/>
  <c r="L24" i="4" s="1"/>
  <c r="C24" i="4"/>
  <c r="AR23" i="4"/>
  <c r="AK23" i="4"/>
  <c r="AI23" i="4"/>
  <c r="AJ23" i="4" s="1"/>
  <c r="AH23" i="4"/>
  <c r="X20" i="4"/>
  <c r="AR19" i="4"/>
  <c r="AR20" i="4" s="1"/>
  <c r="AI19" i="4"/>
  <c r="AI20" i="4" s="1"/>
  <c r="X19" i="4"/>
  <c r="N19" i="4"/>
  <c r="N20" i="4" s="1"/>
  <c r="C19" i="4"/>
  <c r="C20" i="4" s="1"/>
  <c r="AX18" i="4"/>
  <c r="AS18" i="4"/>
  <c r="AR18" i="4"/>
  <c r="AH18" i="4"/>
  <c r="AI18" i="4" s="1"/>
  <c r="AJ18" i="4" s="1"/>
  <c r="Y18" i="4"/>
  <c r="X18" i="4"/>
  <c r="N18" i="4"/>
  <c r="O18" i="4" s="1"/>
  <c r="O19" i="4" s="1"/>
  <c r="O20" i="4" s="1"/>
  <c r="D18" i="4"/>
  <c r="BD6" i="4"/>
  <c r="BB6" i="4"/>
  <c r="AZ6" i="4"/>
  <c r="AX6" i="4"/>
  <c r="BB5" i="4"/>
  <c r="BB47" i="3"/>
  <c r="BB32" i="3" s="1"/>
  <c r="AR47" i="3"/>
  <c r="AR32" i="3" s="1"/>
  <c r="AR3" i="3" s="1"/>
  <c r="AP47" i="3"/>
  <c r="AP32" i="3" s="1"/>
  <c r="AP3" i="3" s="1"/>
  <c r="AF47" i="3"/>
  <c r="T47" i="3"/>
  <c r="R47" i="3"/>
  <c r="R32" i="3" s="1"/>
  <c r="R3" i="3" s="1"/>
  <c r="P47" i="3"/>
  <c r="P32" i="3" s="1"/>
  <c r="P3" i="3" s="1"/>
  <c r="F47" i="3"/>
  <c r="D47" i="3"/>
  <c r="D32" i="3" s="1"/>
  <c r="BD46" i="3"/>
  <c r="BC46" i="3"/>
  <c r="BB46"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V46" i="3"/>
  <c r="U46" i="3"/>
  <c r="T46" i="3"/>
  <c r="S46" i="3"/>
  <c r="R46" i="3"/>
  <c r="Q46" i="3"/>
  <c r="P46" i="3"/>
  <c r="O46" i="3"/>
  <c r="N46" i="3"/>
  <c r="M46" i="3"/>
  <c r="L46" i="3"/>
  <c r="K46" i="3"/>
  <c r="J46" i="3"/>
  <c r="I46" i="3"/>
  <c r="H46" i="3"/>
  <c r="G46" i="3"/>
  <c r="F46" i="3"/>
  <c r="E46" i="3"/>
  <c r="D46" i="3"/>
  <c r="C46" i="3"/>
  <c r="BD45" i="3"/>
  <c r="BD47" i="3" s="1"/>
  <c r="BD32" i="3" s="1"/>
  <c r="BD3" i="3" s="1"/>
  <c r="BC45" i="3"/>
  <c r="BB45" i="3"/>
  <c r="BA45" i="3"/>
  <c r="AZ45" i="3"/>
  <c r="AY45" i="3"/>
  <c r="AX45" i="3"/>
  <c r="AW45" i="3"/>
  <c r="AV45" i="3"/>
  <c r="AU45" i="3"/>
  <c r="AT45" i="3"/>
  <c r="AS45" i="3"/>
  <c r="AR45" i="3"/>
  <c r="AQ45" i="3"/>
  <c r="AP45" i="3"/>
  <c r="AO45" i="3"/>
  <c r="AN45" i="3"/>
  <c r="AM45" i="3"/>
  <c r="AL45" i="3"/>
  <c r="AK45" i="3"/>
  <c r="AJ45" i="3"/>
  <c r="AI45" i="3"/>
  <c r="AH45" i="3"/>
  <c r="AG45" i="3"/>
  <c r="AF45" i="3"/>
  <c r="AE45" i="3"/>
  <c r="AD45" i="3"/>
  <c r="AC45" i="3"/>
  <c r="AB45" i="3"/>
  <c r="AA45" i="3"/>
  <c r="Z45" i="3"/>
  <c r="Y45" i="3"/>
  <c r="X45" i="3"/>
  <c r="W45" i="3"/>
  <c r="V45" i="3"/>
  <c r="U45" i="3"/>
  <c r="T45" i="3"/>
  <c r="S45" i="3"/>
  <c r="R45" i="3"/>
  <c r="Q45" i="3"/>
  <c r="P45" i="3"/>
  <c r="O45" i="3"/>
  <c r="N45" i="3"/>
  <c r="M45" i="3"/>
  <c r="L45" i="3"/>
  <c r="K45" i="3"/>
  <c r="J45" i="3"/>
  <c r="I45" i="3"/>
  <c r="H45" i="3"/>
  <c r="G45" i="3"/>
  <c r="F45" i="3"/>
  <c r="E45" i="3"/>
  <c r="D45" i="3"/>
  <c r="C45" i="3"/>
  <c r="BD44" i="3"/>
  <c r="BC44" i="3"/>
  <c r="BB44" i="3"/>
  <c r="BA44" i="3"/>
  <c r="AZ44" i="3"/>
  <c r="AY44" i="3"/>
  <c r="AX44" i="3"/>
  <c r="AW44" i="3"/>
  <c r="AV44" i="3"/>
  <c r="AU44" i="3"/>
  <c r="AT44" i="3"/>
  <c r="AS44" i="3"/>
  <c r="AR44" i="3"/>
  <c r="AQ44" i="3"/>
  <c r="AP44" i="3"/>
  <c r="AO44" i="3"/>
  <c r="AN44" i="3"/>
  <c r="AM44" i="3"/>
  <c r="AL44" i="3"/>
  <c r="AL47" i="3" s="1"/>
  <c r="AL32" i="3" s="1"/>
  <c r="AL3" i="3" s="1"/>
  <c r="AK44" i="3"/>
  <c r="AJ44" i="3"/>
  <c r="AI44" i="3"/>
  <c r="AH44" i="3"/>
  <c r="AG44" i="3"/>
  <c r="AF44" i="3"/>
  <c r="AE44" i="3"/>
  <c r="AD44" i="3"/>
  <c r="AD47" i="3" s="1"/>
  <c r="AD32" i="3" s="1"/>
  <c r="AD3" i="3" s="1"/>
  <c r="AC44" i="3"/>
  <c r="AB44" i="3"/>
  <c r="AA44" i="3"/>
  <c r="Z44" i="3"/>
  <c r="Y44" i="3"/>
  <c r="X44" i="3"/>
  <c r="W44" i="3"/>
  <c r="V44" i="3"/>
  <c r="U44" i="3"/>
  <c r="T44" i="3"/>
  <c r="S44" i="3"/>
  <c r="R44" i="3"/>
  <c r="Q44" i="3"/>
  <c r="P44" i="3"/>
  <c r="O44" i="3"/>
  <c r="N44" i="3"/>
  <c r="M44" i="3"/>
  <c r="L44" i="3"/>
  <c r="K44" i="3"/>
  <c r="J44" i="3"/>
  <c r="I44" i="3"/>
  <c r="H44" i="3"/>
  <c r="G44" i="3"/>
  <c r="F44" i="3"/>
  <c r="E44" i="3"/>
  <c r="D44" i="3"/>
  <c r="C44" i="3"/>
  <c r="BD43" i="3"/>
  <c r="BC43" i="3"/>
  <c r="BB43" i="3"/>
  <c r="BA43" i="3"/>
  <c r="BA47" i="3" s="1"/>
  <c r="BA32" i="3" s="1"/>
  <c r="BA3" i="3" s="1"/>
  <c r="AZ43" i="3"/>
  <c r="AZ47" i="3" s="1"/>
  <c r="AZ32" i="3" s="1"/>
  <c r="AZ3" i="3" s="1"/>
  <c r="AY43" i="3"/>
  <c r="AX43" i="3"/>
  <c r="AW43" i="3"/>
  <c r="AV43" i="3"/>
  <c r="AU43" i="3"/>
  <c r="AT43" i="3"/>
  <c r="AS43" i="3"/>
  <c r="AS47" i="3" s="1"/>
  <c r="AS32" i="3" s="1"/>
  <c r="AS3" i="3" s="1"/>
  <c r="AR43" i="3"/>
  <c r="AQ43" i="3"/>
  <c r="AP43" i="3"/>
  <c r="AO43" i="3"/>
  <c r="AN43" i="3"/>
  <c r="AM43" i="3"/>
  <c r="AL43" i="3"/>
  <c r="AK43" i="3"/>
  <c r="AK47" i="3" s="1"/>
  <c r="AK32" i="3" s="1"/>
  <c r="AK3" i="3" s="1"/>
  <c r="AJ43" i="3"/>
  <c r="AJ47" i="3" s="1"/>
  <c r="AJ32" i="3" s="1"/>
  <c r="AI43" i="3"/>
  <c r="AH43" i="3"/>
  <c r="AG43" i="3"/>
  <c r="AF43" i="3"/>
  <c r="AE43" i="3"/>
  <c r="AD43" i="3"/>
  <c r="AC43" i="3"/>
  <c r="AC47" i="3" s="1"/>
  <c r="AC32" i="3" s="1"/>
  <c r="AC3" i="3" s="1"/>
  <c r="AB43" i="3"/>
  <c r="AA43" i="3"/>
  <c r="Z43" i="3"/>
  <c r="Y43" i="3"/>
  <c r="X43" i="3"/>
  <c r="W43" i="3"/>
  <c r="V43" i="3"/>
  <c r="U43" i="3"/>
  <c r="U47" i="3" s="1"/>
  <c r="U32" i="3" s="1"/>
  <c r="U3" i="3" s="1"/>
  <c r="T43" i="3"/>
  <c r="S43" i="3"/>
  <c r="R43" i="3"/>
  <c r="Q43" i="3"/>
  <c r="P43" i="3"/>
  <c r="O43" i="3"/>
  <c r="N43" i="3"/>
  <c r="M43" i="3"/>
  <c r="M47" i="3" s="1"/>
  <c r="M32" i="3" s="1"/>
  <c r="M3" i="3" s="1"/>
  <c r="L43" i="3"/>
  <c r="K43" i="3"/>
  <c r="J43" i="3"/>
  <c r="I43" i="3"/>
  <c r="H43" i="3"/>
  <c r="G43" i="3"/>
  <c r="F43" i="3"/>
  <c r="E43" i="3"/>
  <c r="E47" i="3" s="1"/>
  <c r="E32" i="3" s="1"/>
  <c r="E3" i="3" s="1"/>
  <c r="D43" i="3"/>
  <c r="C43" i="3"/>
  <c r="BD42" i="3"/>
  <c r="BC42" i="3"/>
  <c r="BB42" i="3"/>
  <c r="BA42" i="3"/>
  <c r="AZ42" i="3"/>
  <c r="AY42" i="3"/>
  <c r="AY47" i="3" s="1"/>
  <c r="AY32" i="3" s="1"/>
  <c r="AY3" i="3" s="1"/>
  <c r="AX42" i="3"/>
  <c r="AX47" i="3" s="1"/>
  <c r="AW42" i="3"/>
  <c r="AV42" i="3"/>
  <c r="AU42" i="3"/>
  <c r="AT42" i="3"/>
  <c r="AT47" i="3" s="1"/>
  <c r="AT32" i="3" s="1"/>
  <c r="AT3" i="3" s="1"/>
  <c r="AS42" i="3"/>
  <c r="AR42" i="3"/>
  <c r="AQ42" i="3"/>
  <c r="AQ47" i="3" s="1"/>
  <c r="AQ32" i="3" s="1"/>
  <c r="AQ3" i="3" s="1"/>
  <c r="AP42" i="3"/>
  <c r="AO42" i="3"/>
  <c r="AN42" i="3"/>
  <c r="AM42" i="3"/>
  <c r="AL42" i="3"/>
  <c r="AK42" i="3"/>
  <c r="AJ42" i="3"/>
  <c r="AI42" i="3"/>
  <c r="AI47" i="3" s="1"/>
  <c r="AI32" i="3" s="1"/>
  <c r="AI3" i="3" s="1"/>
  <c r="AH42" i="3"/>
  <c r="AH47" i="3" s="1"/>
  <c r="AH32" i="3" s="1"/>
  <c r="AG42" i="3"/>
  <c r="AF42" i="3"/>
  <c r="AE42" i="3"/>
  <c r="AD42" i="3"/>
  <c r="AC42" i="3"/>
  <c r="AB42" i="3"/>
  <c r="AA42" i="3"/>
  <c r="AA47" i="3" s="1"/>
  <c r="AA32" i="3" s="1"/>
  <c r="AA3" i="3" s="1"/>
  <c r="Z42" i="3"/>
  <c r="Z47" i="3" s="1"/>
  <c r="Z32" i="3" s="1"/>
  <c r="Z3" i="3" s="1"/>
  <c r="Y42" i="3"/>
  <c r="X42" i="3"/>
  <c r="W42" i="3"/>
  <c r="V42" i="3"/>
  <c r="U42" i="3"/>
  <c r="T42" i="3"/>
  <c r="S42" i="3"/>
  <c r="S47" i="3" s="1"/>
  <c r="S32" i="3" s="1"/>
  <c r="S3" i="3" s="1"/>
  <c r="R42" i="3"/>
  <c r="Q42" i="3"/>
  <c r="P42" i="3"/>
  <c r="O42" i="3"/>
  <c r="N42" i="3"/>
  <c r="N47" i="3" s="1"/>
  <c r="N32" i="3" s="1"/>
  <c r="M42" i="3"/>
  <c r="L42" i="3"/>
  <c r="K42" i="3"/>
  <c r="K47" i="3" s="1"/>
  <c r="K32" i="3" s="1"/>
  <c r="K3" i="3" s="1"/>
  <c r="J42" i="3"/>
  <c r="J47" i="3" s="1"/>
  <c r="J32" i="3" s="1"/>
  <c r="J3" i="3" s="1"/>
  <c r="I42" i="3"/>
  <c r="H42" i="3"/>
  <c r="G42" i="3"/>
  <c r="F42" i="3"/>
  <c r="E42" i="3"/>
  <c r="D42" i="3"/>
  <c r="C42" i="3"/>
  <c r="C47" i="3" s="1"/>
  <c r="C32" i="3" s="1"/>
  <c r="C3" i="3" s="1"/>
  <c r="BD41" i="3"/>
  <c r="BC41" i="3"/>
  <c r="BB41" i="3"/>
  <c r="BA41" i="3"/>
  <c r="AZ41"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T41" i="3"/>
  <c r="S41" i="3"/>
  <c r="R41" i="3"/>
  <c r="Q41" i="3"/>
  <c r="P41" i="3"/>
  <c r="O41" i="3"/>
  <c r="N41" i="3"/>
  <c r="M41" i="3"/>
  <c r="L41" i="3"/>
  <c r="K41" i="3"/>
  <c r="J41" i="3"/>
  <c r="I41" i="3"/>
  <c r="H41" i="3"/>
  <c r="G41" i="3"/>
  <c r="F41" i="3"/>
  <c r="E41" i="3"/>
  <c r="D41" i="3"/>
  <c r="C41" i="3"/>
  <c r="BD40" i="3"/>
  <c r="BC40" i="3"/>
  <c r="BB40" i="3"/>
  <c r="BA40" i="3"/>
  <c r="AZ40"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V40" i="3"/>
  <c r="U40" i="3"/>
  <c r="T40" i="3"/>
  <c r="S40" i="3"/>
  <c r="R40" i="3"/>
  <c r="Q40" i="3"/>
  <c r="P40" i="3"/>
  <c r="O40" i="3"/>
  <c r="N40" i="3"/>
  <c r="M40" i="3"/>
  <c r="L40" i="3"/>
  <c r="K40" i="3"/>
  <c r="J40" i="3"/>
  <c r="I40" i="3"/>
  <c r="H40" i="3"/>
  <c r="G40" i="3"/>
  <c r="F40" i="3"/>
  <c r="E40" i="3"/>
  <c r="D40" i="3"/>
  <c r="C40" i="3"/>
  <c r="AX32" i="3"/>
  <c r="AX3" i="3" s="1"/>
  <c r="AF32" i="3"/>
  <c r="AF3" i="3" s="1"/>
  <c r="T32" i="3"/>
  <c r="F32" i="3"/>
  <c r="F3" i="3" s="1"/>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E10" i="3"/>
  <c r="D10" i="3"/>
  <c r="C10" i="3"/>
  <c r="BD9" i="3"/>
  <c r="BC9" i="3"/>
  <c r="BB9" i="3"/>
  <c r="BA9" i="3"/>
  <c r="AZ9" i="3"/>
  <c r="AY9" i="3"/>
  <c r="AX9" i="3"/>
  <c r="AW9" i="3"/>
  <c r="AV9" i="3"/>
  <c r="AU9" i="3"/>
  <c r="AT9" i="3"/>
  <c r="AS9" i="3"/>
  <c r="AR9" i="3"/>
  <c r="AQ9" i="3"/>
  <c r="AP9" i="3"/>
  <c r="AO9" i="3"/>
  <c r="AN9" i="3"/>
  <c r="AM9" i="3"/>
  <c r="AL9" i="3"/>
  <c r="AK9" i="3"/>
  <c r="AJ9" i="3"/>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 r="BD8" i="3"/>
  <c r="BC8" i="3"/>
  <c r="BB8" i="3"/>
  <c r="BA8" i="3"/>
  <c r="AZ8" i="3"/>
  <c r="AY8" i="3"/>
  <c r="AX8" i="3"/>
  <c r="AW8" i="3"/>
  <c r="AV8" i="3"/>
  <c r="AU8" i="3"/>
  <c r="AT8" i="3"/>
  <c r="AS8" i="3"/>
  <c r="AR8" i="3"/>
  <c r="AQ8" i="3"/>
  <c r="AP8" i="3"/>
  <c r="AO8" i="3"/>
  <c r="AN8" i="3"/>
  <c r="AM8" i="3"/>
  <c r="AL8" i="3"/>
  <c r="AK8" i="3"/>
  <c r="AJ8" i="3"/>
  <c r="AI8" i="3"/>
  <c r="AH8" i="3"/>
  <c r="AG8" i="3"/>
  <c r="AF8" i="3"/>
  <c r="AE8" i="3"/>
  <c r="AD8" i="3"/>
  <c r="AC8" i="3"/>
  <c r="AB8" i="3"/>
  <c r="AA8" i="3"/>
  <c r="Z8" i="3"/>
  <c r="Y8" i="3"/>
  <c r="X8" i="3"/>
  <c r="W8" i="3"/>
  <c r="V8" i="3"/>
  <c r="U8" i="3"/>
  <c r="T8" i="3"/>
  <c r="S8" i="3"/>
  <c r="R8" i="3"/>
  <c r="Q8" i="3"/>
  <c r="P8" i="3"/>
  <c r="O8" i="3"/>
  <c r="N8" i="3"/>
  <c r="M8" i="3"/>
  <c r="L8" i="3"/>
  <c r="K8" i="3"/>
  <c r="J8" i="3"/>
  <c r="I8" i="3"/>
  <c r="H8" i="3"/>
  <c r="G8" i="3"/>
  <c r="F8" i="3"/>
  <c r="E8" i="3"/>
  <c r="D8" i="3"/>
  <c r="C8"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S7" i="3"/>
  <c r="R7" i="3"/>
  <c r="Q7" i="3"/>
  <c r="P7" i="3"/>
  <c r="O7" i="3"/>
  <c r="N7" i="3"/>
  <c r="M7" i="3"/>
  <c r="L7" i="3"/>
  <c r="K7" i="3"/>
  <c r="J7" i="3"/>
  <c r="I7" i="3"/>
  <c r="H7" i="3"/>
  <c r="G7" i="3"/>
  <c r="F7" i="3"/>
  <c r="E7" i="3"/>
  <c r="D7" i="3"/>
  <c r="C7" i="3"/>
  <c r="BD6" i="3"/>
  <c r="BC6" i="3"/>
  <c r="BB6" i="3"/>
  <c r="BA6" i="3"/>
  <c r="AZ6" i="3"/>
  <c r="AY6" i="3"/>
  <c r="AX6" i="3"/>
  <c r="AW6" i="3"/>
  <c r="AV6" i="3"/>
  <c r="AU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G6" i="3"/>
  <c r="F6" i="3"/>
  <c r="E6" i="3"/>
  <c r="D6" i="3"/>
  <c r="C6" i="3"/>
  <c r="BD5" i="3"/>
  <c r="BC5" i="3"/>
  <c r="BB5" i="3"/>
  <c r="BA5" i="3"/>
  <c r="AZ5" i="3"/>
  <c r="AY5" i="3"/>
  <c r="AX5" i="3"/>
  <c r="AW5" i="3"/>
  <c r="AV5" i="3"/>
  <c r="AU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E5" i="3"/>
  <c r="D5" i="3"/>
  <c r="C5" i="3"/>
  <c r="BD4" i="3"/>
  <c r="BC4" i="3"/>
  <c r="BB4" i="3"/>
  <c r="BA4" i="3"/>
  <c r="AZ4" i="3"/>
  <c r="AY4" i="3"/>
  <c r="AX4" i="3"/>
  <c r="AW4" i="3"/>
  <c r="AV4" i="3"/>
  <c r="AU4" i="3"/>
  <c r="AT4" i="3"/>
  <c r="AS4" i="3"/>
  <c r="AR4" i="3"/>
  <c r="AQ4" i="3"/>
  <c r="AP4" i="3"/>
  <c r="AO4" i="3"/>
  <c r="AN4" i="3"/>
  <c r="AM4" i="3"/>
  <c r="AL4" i="3"/>
  <c r="AK4" i="3"/>
  <c r="AJ4" i="3"/>
  <c r="AI4" i="3"/>
  <c r="AH4" i="3"/>
  <c r="AG4" i="3"/>
  <c r="AF4" i="3"/>
  <c r="AE4" i="3"/>
  <c r="AD4" i="3"/>
  <c r="AC4" i="3"/>
  <c r="AB4" i="3"/>
  <c r="AA4" i="3"/>
  <c r="Z4" i="3"/>
  <c r="Y4" i="3"/>
  <c r="X4" i="3"/>
  <c r="W4" i="3"/>
  <c r="V4" i="3"/>
  <c r="U4" i="3"/>
  <c r="T4" i="3"/>
  <c r="S4" i="3"/>
  <c r="R4" i="3"/>
  <c r="Q4" i="3"/>
  <c r="P4" i="3"/>
  <c r="O4" i="3"/>
  <c r="N4" i="3"/>
  <c r="M4" i="3"/>
  <c r="L4" i="3"/>
  <c r="K4" i="3"/>
  <c r="J4" i="3"/>
  <c r="I4" i="3"/>
  <c r="H4" i="3"/>
  <c r="G4" i="3"/>
  <c r="F4" i="3"/>
  <c r="E4" i="3"/>
  <c r="D4" i="3"/>
  <c r="C4" i="3"/>
  <c r="BB3" i="3"/>
  <c r="AJ3" i="3"/>
  <c r="AH3" i="3"/>
  <c r="T3" i="3"/>
  <c r="N3" i="3"/>
  <c r="D3" i="3"/>
  <c r="AT56" i="2"/>
  <c r="AU56" i="2" s="1"/>
  <c r="AU55" i="2"/>
  <c r="AT55" i="2"/>
  <c r="AD51" i="2"/>
  <c r="AD52" i="2" s="1"/>
  <c r="AD26" i="2" s="1"/>
  <c r="N51" i="2"/>
  <c r="N52" i="2" s="1"/>
  <c r="N26" i="2" s="1"/>
  <c r="AM50" i="2"/>
  <c r="AL50" i="2"/>
  <c r="AL51" i="2" s="1"/>
  <c r="AL52" i="2" s="1"/>
  <c r="AL26" i="2" s="1"/>
  <c r="AJ50" i="2"/>
  <c r="AJ51" i="2" s="1"/>
  <c r="AJ52" i="2" s="1"/>
  <c r="AJ26" i="2" s="1"/>
  <c r="AE50" i="2"/>
  <c r="AD50" i="2"/>
  <c r="W50" i="2"/>
  <c r="V50" i="2"/>
  <c r="V51" i="2" s="1"/>
  <c r="V52" i="2" s="1"/>
  <c r="V26" i="2" s="1"/>
  <c r="T50" i="2"/>
  <c r="T51" i="2" s="1"/>
  <c r="T52" i="2" s="1"/>
  <c r="T26" i="2" s="1"/>
  <c r="O50" i="2"/>
  <c r="N50" i="2"/>
  <c r="G50" i="2"/>
  <c r="F50" i="2"/>
  <c r="F51" i="2" s="1"/>
  <c r="F52" i="2" s="1"/>
  <c r="F26" i="2" s="1"/>
  <c r="D50" i="2"/>
  <c r="D51" i="2" s="1"/>
  <c r="D52" i="2" s="1"/>
  <c r="D26" i="2" s="1"/>
  <c r="AR48" i="2"/>
  <c r="AR50" i="2" s="1"/>
  <c r="AR51" i="2" s="1"/>
  <c r="AR52" i="2" s="1"/>
  <c r="AR26" i="2" s="1"/>
  <c r="AR3" i="2" s="1"/>
  <c r="AP48" i="2"/>
  <c r="AP50" i="2" s="1"/>
  <c r="AL48" i="2"/>
  <c r="AJ48" i="2"/>
  <c r="AH48" i="2"/>
  <c r="AH50" i="2" s="1"/>
  <c r="AH51" i="2" s="1"/>
  <c r="AH52" i="2" s="1"/>
  <c r="AH26" i="2" s="1"/>
  <c r="AD48" i="2"/>
  <c r="AB48" i="2"/>
  <c r="AB50" i="2" s="1"/>
  <c r="AB51" i="2" s="1"/>
  <c r="AB52" i="2" s="1"/>
  <c r="AB26" i="2" s="1"/>
  <c r="Z48" i="2"/>
  <c r="Z50" i="2" s="1"/>
  <c r="Z51" i="2" s="1"/>
  <c r="Z52" i="2" s="1"/>
  <c r="Z26" i="2" s="1"/>
  <c r="V48" i="2"/>
  <c r="T48" i="2"/>
  <c r="R48" i="2"/>
  <c r="R50" i="2" s="1"/>
  <c r="R51" i="2" s="1"/>
  <c r="R52" i="2" s="1"/>
  <c r="R26" i="2" s="1"/>
  <c r="N48" i="2"/>
  <c r="L48" i="2"/>
  <c r="L50" i="2" s="1"/>
  <c r="L51" i="2" s="1"/>
  <c r="L52" i="2" s="1"/>
  <c r="L26" i="2" s="1"/>
  <c r="J48" i="2"/>
  <c r="J50" i="2" s="1"/>
  <c r="J51" i="2" s="1"/>
  <c r="J52" i="2" s="1"/>
  <c r="J26" i="2" s="1"/>
  <c r="F48" i="2"/>
  <c r="D48" i="2"/>
  <c r="BA47" i="2"/>
  <c r="AX47" i="2"/>
  <c r="AX48" i="2" s="1"/>
  <c r="AX50" i="2" s="1"/>
  <c r="AX51" i="2" s="1"/>
  <c r="AX52" i="2" s="1"/>
  <c r="AX26" i="2" s="1"/>
  <c r="AX3" i="2" s="1"/>
  <c r="AS47" i="2"/>
  <c r="AT47" i="2" s="1"/>
  <c r="AT48" i="2" s="1"/>
  <c r="AT50" i="2" s="1"/>
  <c r="AT51" i="2" s="1"/>
  <c r="AT52" i="2" s="1"/>
  <c r="AT26" i="2" s="1"/>
  <c r="AT3" i="2" s="1"/>
  <c r="AR47" i="2"/>
  <c r="BD46" i="2"/>
  <c r="BA46" i="2"/>
  <c r="AZ46" i="2"/>
  <c r="BB46" i="2" s="1"/>
  <c r="BC46" i="2" s="1"/>
  <c r="AY46" i="2"/>
  <c r="AX46" i="2"/>
  <c r="BD45" i="2"/>
  <c r="BD44" i="2"/>
  <c r="BA43" i="2"/>
  <c r="BA8" i="2" s="1"/>
  <c r="AZ43" i="2"/>
  <c r="AY43" i="2"/>
  <c r="AX43" i="2"/>
  <c r="AW43" i="2"/>
  <c r="AV43" i="2"/>
  <c r="AU43" i="2"/>
  <c r="AT43" i="2"/>
  <c r="AS43" i="2"/>
  <c r="AS48" i="2" s="1"/>
  <c r="AS50" i="2" s="1"/>
  <c r="AS51" i="2" s="1"/>
  <c r="AS52" i="2" s="1"/>
  <c r="AS26" i="2" s="1"/>
  <c r="AS3" i="2" s="1"/>
  <c r="AR43" i="2"/>
  <c r="AQ43" i="2"/>
  <c r="AQ48" i="2" s="1"/>
  <c r="AQ50" i="2" s="1"/>
  <c r="AP43" i="2"/>
  <c r="AO43" i="2"/>
  <c r="AO48" i="2" s="1"/>
  <c r="AO50" i="2" s="1"/>
  <c r="AN43" i="2"/>
  <c r="AN48" i="2" s="1"/>
  <c r="AN50" i="2" s="1"/>
  <c r="AM43" i="2"/>
  <c r="AM48" i="2" s="1"/>
  <c r="AL43" i="2"/>
  <c r="AK43" i="2"/>
  <c r="AK48" i="2" s="1"/>
  <c r="AK50" i="2" s="1"/>
  <c r="AK51" i="2" s="1"/>
  <c r="AK52" i="2" s="1"/>
  <c r="AK26" i="2" s="1"/>
  <c r="AJ43" i="2"/>
  <c r="AI43" i="2"/>
  <c r="AI48" i="2" s="1"/>
  <c r="AI50" i="2" s="1"/>
  <c r="AH43" i="2"/>
  <c r="AG43" i="2"/>
  <c r="AG48" i="2" s="1"/>
  <c r="AG50" i="2" s="1"/>
  <c r="AF43" i="2"/>
  <c r="AF48" i="2" s="1"/>
  <c r="AF50" i="2" s="1"/>
  <c r="AF51" i="2" s="1"/>
  <c r="AF52" i="2" s="1"/>
  <c r="AF26" i="2" s="1"/>
  <c r="AE43" i="2"/>
  <c r="AE48" i="2" s="1"/>
  <c r="AD43" i="2"/>
  <c r="AC43" i="2"/>
  <c r="AC48" i="2" s="1"/>
  <c r="AC50" i="2" s="1"/>
  <c r="AB43" i="2"/>
  <c r="AA43" i="2"/>
  <c r="AA48" i="2" s="1"/>
  <c r="AA50" i="2" s="1"/>
  <c r="Z43" i="2"/>
  <c r="Y43" i="2"/>
  <c r="Y48" i="2" s="1"/>
  <c r="Y50" i="2" s="1"/>
  <c r="X43" i="2"/>
  <c r="X48" i="2" s="1"/>
  <c r="X50" i="2" s="1"/>
  <c r="W43" i="2"/>
  <c r="W48" i="2" s="1"/>
  <c r="V43" i="2"/>
  <c r="U43" i="2"/>
  <c r="U48" i="2" s="1"/>
  <c r="U50" i="2" s="1"/>
  <c r="T43" i="2"/>
  <c r="S43" i="2"/>
  <c r="S48" i="2" s="1"/>
  <c r="S50" i="2" s="1"/>
  <c r="R43" i="2"/>
  <c r="Q43" i="2"/>
  <c r="Q48" i="2" s="1"/>
  <c r="Q50" i="2" s="1"/>
  <c r="P43" i="2"/>
  <c r="P48" i="2" s="1"/>
  <c r="P50" i="2" s="1"/>
  <c r="P51" i="2" s="1"/>
  <c r="P52" i="2" s="1"/>
  <c r="P26" i="2" s="1"/>
  <c r="O43" i="2"/>
  <c r="O48" i="2" s="1"/>
  <c r="N43" i="2"/>
  <c r="M43" i="2"/>
  <c r="M48" i="2" s="1"/>
  <c r="M50" i="2" s="1"/>
  <c r="M51" i="2" s="1"/>
  <c r="M52" i="2" s="1"/>
  <c r="M26" i="2" s="1"/>
  <c r="L43" i="2"/>
  <c r="K43" i="2"/>
  <c r="K48" i="2" s="1"/>
  <c r="K50" i="2" s="1"/>
  <c r="J43" i="2"/>
  <c r="I43" i="2"/>
  <c r="I48" i="2" s="1"/>
  <c r="I50" i="2" s="1"/>
  <c r="H43" i="2"/>
  <c r="H48" i="2" s="1"/>
  <c r="H50" i="2" s="1"/>
  <c r="G43" i="2"/>
  <c r="G48" i="2" s="1"/>
  <c r="F43" i="2"/>
  <c r="E43" i="2"/>
  <c r="E48" i="2" s="1"/>
  <c r="E50" i="2" s="1"/>
  <c r="D43" i="2"/>
  <c r="C43" i="2"/>
  <c r="C48" i="2" s="1"/>
  <c r="C50" i="2" s="1"/>
  <c r="BA42" i="2"/>
  <c r="BB42" i="2" s="1"/>
  <c r="AZ42" i="2"/>
  <c r="AZ41" i="2"/>
  <c r="BA41" i="2" s="1"/>
  <c r="BB41" i="2" s="1"/>
  <c r="BC41" i="2" s="1"/>
  <c r="BD41" i="2" s="1"/>
  <c r="BD39" i="2"/>
  <c r="BD7" i="2" s="1"/>
  <c r="AV39" i="2"/>
  <c r="AO39" i="2"/>
  <c r="AO51" i="2" s="1"/>
  <c r="AO52" i="2" s="1"/>
  <c r="AO26" i="2" s="1"/>
  <c r="AN39" i="2"/>
  <c r="AF39" i="2"/>
  <c r="X39" i="2"/>
  <c r="P39" i="2"/>
  <c r="I39" i="2"/>
  <c r="I51" i="2" s="1"/>
  <c r="I52" i="2" s="1"/>
  <c r="I26" i="2" s="1"/>
  <c r="H39" i="2"/>
  <c r="BD38" i="2"/>
  <c r="BC38" i="2"/>
  <c r="BC39" i="2" s="1"/>
  <c r="BC7" i="2" s="1"/>
  <c r="BB38" i="2"/>
  <c r="BA38" i="2"/>
  <c r="AZ38" i="2"/>
  <c r="AY38" i="2"/>
  <c r="AY39" i="2" s="1"/>
  <c r="AX38" i="2"/>
  <c r="AX39" i="2" s="1"/>
  <c r="AW38" i="2"/>
  <c r="AV38" i="2"/>
  <c r="AU38" i="2"/>
  <c r="AU39" i="2" s="1"/>
  <c r="AT38" i="2"/>
  <c r="AT39" i="2" s="1"/>
  <c r="AS38" i="2"/>
  <c r="AS39" i="2" s="1"/>
  <c r="AR38" i="2"/>
  <c r="AQ38" i="2"/>
  <c r="AQ39" i="2" s="1"/>
  <c r="AO38" i="2"/>
  <c r="AN38" i="2"/>
  <c r="AM38" i="2"/>
  <c r="AM39" i="2" s="1"/>
  <c r="AL38" i="2"/>
  <c r="AL39" i="2" s="1"/>
  <c r="AK38" i="2"/>
  <c r="AJ38" i="2"/>
  <c r="AI38" i="2"/>
  <c r="AH38" i="2"/>
  <c r="AH39" i="2" s="1"/>
  <c r="AG38" i="2"/>
  <c r="AF38" i="2"/>
  <c r="AE38" i="2"/>
  <c r="AE39" i="2" s="1"/>
  <c r="AD38" i="2"/>
  <c r="AD39" i="2" s="1"/>
  <c r="AC38" i="2"/>
  <c r="AB38" i="2"/>
  <c r="AA38" i="2"/>
  <c r="Z38" i="2"/>
  <c r="Z39" i="2" s="1"/>
  <c r="Y38" i="2"/>
  <c r="X38" i="2"/>
  <c r="W38" i="2"/>
  <c r="W39" i="2" s="1"/>
  <c r="V38" i="2"/>
  <c r="V39" i="2" s="1"/>
  <c r="U38" i="2"/>
  <c r="T38" i="2"/>
  <c r="S38" i="2"/>
  <c r="R38" i="2"/>
  <c r="R39" i="2" s="1"/>
  <c r="Q38" i="2"/>
  <c r="P38" i="2"/>
  <c r="O38" i="2"/>
  <c r="O39" i="2" s="1"/>
  <c r="N38" i="2"/>
  <c r="N39" i="2" s="1"/>
  <c r="M38" i="2"/>
  <c r="L38" i="2"/>
  <c r="K38" i="2"/>
  <c r="J38" i="2"/>
  <c r="J39" i="2" s="1"/>
  <c r="I38" i="2"/>
  <c r="H38" i="2"/>
  <c r="G38" i="2"/>
  <c r="G39" i="2" s="1"/>
  <c r="F38" i="2"/>
  <c r="F39" i="2" s="1"/>
  <c r="E38" i="2"/>
  <c r="D38" i="2"/>
  <c r="C38" i="2"/>
  <c r="BD36" i="2"/>
  <c r="BC36" i="2"/>
  <c r="BA36" i="2"/>
  <c r="BA39" i="2" s="1"/>
  <c r="BA7" i="2" s="1"/>
  <c r="AZ36" i="2"/>
  <c r="AZ39" i="2" s="1"/>
  <c r="AY36" i="2"/>
  <c r="AX36" i="2"/>
  <c r="AW36" i="2"/>
  <c r="AW39" i="2" s="1"/>
  <c r="AV36" i="2"/>
  <c r="AU36" i="2"/>
  <c r="AT36" i="2"/>
  <c r="AS36" i="2"/>
  <c r="AR36" i="2"/>
  <c r="AR39" i="2" s="1"/>
  <c r="AQ36" i="2"/>
  <c r="AO36" i="2"/>
  <c r="AN36" i="2"/>
  <c r="AK36" i="2"/>
  <c r="AK39" i="2" s="1"/>
  <c r="AJ36" i="2"/>
  <c r="AJ39" i="2" s="1"/>
  <c r="AG36" i="2"/>
  <c r="AG39" i="2" s="1"/>
  <c r="AG51" i="2" s="1"/>
  <c r="AG52" i="2" s="1"/>
  <c r="AG26" i="2" s="1"/>
  <c r="AF36" i="2"/>
  <c r="AB36" i="2"/>
  <c r="AB39" i="2" s="1"/>
  <c r="Y36" i="2"/>
  <c r="Y39" i="2" s="1"/>
  <c r="Y51" i="2" s="1"/>
  <c r="Y52" i="2" s="1"/>
  <c r="Y26" i="2" s="1"/>
  <c r="X36" i="2"/>
  <c r="T36" i="2"/>
  <c r="T39" i="2" s="1"/>
  <c r="Q36" i="2"/>
  <c r="Q39" i="2" s="1"/>
  <c r="Q51" i="2" s="1"/>
  <c r="Q52" i="2" s="1"/>
  <c r="Q26" i="2" s="1"/>
  <c r="P36" i="2"/>
  <c r="M36" i="2"/>
  <c r="M39" i="2" s="1"/>
  <c r="L36" i="2"/>
  <c r="L39" i="2" s="1"/>
  <c r="K36" i="2"/>
  <c r="I36" i="2"/>
  <c r="H36" i="2"/>
  <c r="D36" i="2"/>
  <c r="D39" i="2" s="1"/>
  <c r="BC34" i="2"/>
  <c r="BB34" i="2"/>
  <c r="AO34" i="2"/>
  <c r="AN34" i="2"/>
  <c r="AM34" i="2"/>
  <c r="AM36" i="2" s="1"/>
  <c r="AL34" i="2"/>
  <c r="AL36" i="2" s="1"/>
  <c r="AK34" i="2"/>
  <c r="AJ34" i="2"/>
  <c r="AI34" i="2"/>
  <c r="AI36" i="2" s="1"/>
  <c r="AH34" i="2"/>
  <c r="AH36" i="2" s="1"/>
  <c r="AG34" i="2"/>
  <c r="AF34" i="2"/>
  <c r="AE34" i="2"/>
  <c r="AE36" i="2" s="1"/>
  <c r="AD34" i="2"/>
  <c r="AD36" i="2" s="1"/>
  <c r="AC34" i="2"/>
  <c r="AC36" i="2" s="1"/>
  <c r="AC39" i="2" s="1"/>
  <c r="AB34" i="2"/>
  <c r="AA34" i="2"/>
  <c r="AA36" i="2" s="1"/>
  <c r="Z34" i="2"/>
  <c r="Z36" i="2" s="1"/>
  <c r="Y34" i="2"/>
  <c r="X34" i="2"/>
  <c r="W34" i="2"/>
  <c r="W36" i="2" s="1"/>
  <c r="V34" i="2"/>
  <c r="V36" i="2" s="1"/>
  <c r="U34" i="2"/>
  <c r="U36" i="2" s="1"/>
  <c r="U39" i="2" s="1"/>
  <c r="T34" i="2"/>
  <c r="S34" i="2"/>
  <c r="S36" i="2" s="1"/>
  <c r="R34" i="2"/>
  <c r="R36" i="2" s="1"/>
  <c r="Q34" i="2"/>
  <c r="P34" i="2"/>
  <c r="O34" i="2"/>
  <c r="O36" i="2" s="1"/>
  <c r="N34" i="2"/>
  <c r="N36" i="2" s="1"/>
  <c r="M34" i="2"/>
  <c r="L34" i="2"/>
  <c r="K34" i="2"/>
  <c r="J34" i="2"/>
  <c r="J36" i="2" s="1"/>
  <c r="I34" i="2"/>
  <c r="H34" i="2"/>
  <c r="G34" i="2"/>
  <c r="G36" i="2" s="1"/>
  <c r="F34" i="2"/>
  <c r="F36" i="2" s="1"/>
  <c r="E34" i="2"/>
  <c r="E36" i="2" s="1"/>
  <c r="E39" i="2" s="1"/>
  <c r="D34" i="2"/>
  <c r="C34" i="2"/>
  <c r="C36" i="2" s="1"/>
  <c r="BD33" i="2"/>
  <c r="AT29" i="2"/>
  <c r="AS29" i="2"/>
  <c r="AP29" i="2"/>
  <c r="BD9" i="2"/>
  <c r="BA9" i="2"/>
  <c r="BD6" i="2"/>
  <c r="BC6" i="2"/>
  <c r="BA6" i="2"/>
  <c r="AZ6" i="2"/>
  <c r="AY6" i="2"/>
  <c r="AX6" i="2"/>
  <c r="AW6" i="2"/>
  <c r="AV6" i="2"/>
  <c r="AU6" i="2"/>
  <c r="AT6" i="2"/>
  <c r="AS6" i="2"/>
  <c r="AR6" i="2"/>
  <c r="AQ6" i="2"/>
  <c r="BD5" i="2"/>
  <c r="BC5" i="2"/>
  <c r="BB5" i="2"/>
  <c r="BA5" i="2"/>
  <c r="AZ5" i="2"/>
  <c r="AY5" i="2"/>
  <c r="AX5" i="2"/>
  <c r="AW5" i="2"/>
  <c r="AV5" i="2"/>
  <c r="AU5" i="2"/>
  <c r="AT5" i="2"/>
  <c r="AS5" i="2"/>
  <c r="AR5" i="2"/>
  <c r="AQ5" i="2"/>
  <c r="BD4" i="2"/>
  <c r="BC4" i="2"/>
  <c r="BB4" i="2"/>
  <c r="BA4" i="2"/>
  <c r="BD34" i="1"/>
  <c r="BC34" i="1"/>
  <c r="BB34" i="1"/>
  <c r="BA34" i="1"/>
  <c r="AZ34" i="1"/>
  <c r="AY34" i="1"/>
  <c r="AX34" i="1"/>
  <c r="AW34" i="1"/>
  <c r="AV34" i="1"/>
  <c r="AV15" i="1" s="1"/>
  <c r="AU34" i="1"/>
  <c r="AT34" i="1"/>
  <c r="AS34" i="1"/>
  <c r="AS15" i="1" s="1"/>
  <c r="AR34" i="1"/>
  <c r="AQ34" i="1"/>
  <c r="AP34" i="1"/>
  <c r="AO34" i="1"/>
  <c r="AN34" i="1"/>
  <c r="AN15" i="1" s="1"/>
  <c r="AM34" i="1"/>
  <c r="AL34" i="1"/>
  <c r="AK34" i="1"/>
  <c r="AJ34" i="1"/>
  <c r="AI34" i="1"/>
  <c r="AH34" i="1"/>
  <c r="AG34" i="1"/>
  <c r="AF34" i="1"/>
  <c r="AF15" i="1" s="1"/>
  <c r="AE34" i="1"/>
  <c r="AD34" i="1"/>
  <c r="AC34" i="1"/>
  <c r="AC15" i="1" s="1"/>
  <c r="AB34" i="1"/>
  <c r="AA34" i="1"/>
  <c r="Z34" i="1"/>
  <c r="Y34" i="1"/>
  <c r="X34" i="1"/>
  <c r="X15" i="1" s="1"/>
  <c r="W34" i="1"/>
  <c r="V34" i="1"/>
  <c r="U34" i="1"/>
  <c r="T34" i="1"/>
  <c r="S34" i="1"/>
  <c r="R34" i="1"/>
  <c r="Q34" i="1"/>
  <c r="P34" i="1"/>
  <c r="P15" i="1" s="1"/>
  <c r="O34" i="1"/>
  <c r="N34" i="1"/>
  <c r="M34" i="1"/>
  <c r="M15" i="1" s="1"/>
  <c r="L34" i="1"/>
  <c r="K34" i="1"/>
  <c r="J34" i="1"/>
  <c r="I34" i="1"/>
  <c r="H34" i="1"/>
  <c r="H15" i="1" s="1"/>
  <c r="G34" i="1"/>
  <c r="F34" i="1"/>
  <c r="E34" i="1"/>
  <c r="D34" i="1"/>
  <c r="C34" i="1"/>
  <c r="BA32" i="1"/>
  <c r="BA5" i="1" s="1"/>
  <c r="AY32" i="1"/>
  <c r="AY15" i="1" s="1"/>
  <c r="AT32" i="1"/>
  <c r="AT15" i="1" s="1"/>
  <c r="AL32" i="1"/>
  <c r="AL15" i="1" s="1"/>
  <c r="AK32" i="1"/>
  <c r="AK15" i="1" s="1"/>
  <c r="AI32" i="1"/>
  <c r="AI15" i="1" s="1"/>
  <c r="AD32" i="1"/>
  <c r="AD15" i="1" s="1"/>
  <c r="V32" i="1"/>
  <c r="V15" i="1" s="1"/>
  <c r="U32" i="1"/>
  <c r="U15" i="1" s="1"/>
  <c r="S32" i="1"/>
  <c r="S15" i="1" s="1"/>
  <c r="N32" i="1"/>
  <c r="N15" i="1" s="1"/>
  <c r="F32" i="1"/>
  <c r="F15" i="1" s="1"/>
  <c r="E32" i="1"/>
  <c r="E15" i="1" s="1"/>
  <c r="C32" i="1"/>
  <c r="C15" i="1" s="1"/>
  <c r="BD31" i="1"/>
  <c r="BC31" i="1"/>
  <c r="BB31" i="1"/>
  <c r="BA31" i="1"/>
  <c r="AZ31" i="1"/>
  <c r="AZ32" i="1" s="1"/>
  <c r="AY31" i="1"/>
  <c r="AX31" i="1"/>
  <c r="AW31" i="1"/>
  <c r="AW32" i="1" s="1"/>
  <c r="AV31" i="1"/>
  <c r="AV32" i="1" s="1"/>
  <c r="AU31" i="1"/>
  <c r="AT31" i="1"/>
  <c r="AS31" i="1"/>
  <c r="AS32" i="1" s="1"/>
  <c r="AR31" i="1"/>
  <c r="AR32" i="1" s="1"/>
  <c r="AQ31" i="1"/>
  <c r="AQ32" i="1" s="1"/>
  <c r="AQ15" i="1" s="1"/>
  <c r="AP31" i="1"/>
  <c r="AO31" i="1"/>
  <c r="AO32" i="1" s="1"/>
  <c r="AN31" i="1"/>
  <c r="AN32" i="1" s="1"/>
  <c r="AM31" i="1"/>
  <c r="AL31" i="1"/>
  <c r="AK31" i="1"/>
  <c r="AJ31" i="1"/>
  <c r="AJ32" i="1" s="1"/>
  <c r="AI31" i="1"/>
  <c r="AH31" i="1"/>
  <c r="AG31" i="1"/>
  <c r="AG32" i="1" s="1"/>
  <c r="AF31" i="1"/>
  <c r="AF32" i="1" s="1"/>
  <c r="AE31" i="1"/>
  <c r="AD31" i="1"/>
  <c r="AC31" i="1"/>
  <c r="AC32" i="1" s="1"/>
  <c r="AB31" i="1"/>
  <c r="AB32" i="1" s="1"/>
  <c r="AA31" i="1"/>
  <c r="AA32" i="1" s="1"/>
  <c r="Z31" i="1"/>
  <c r="Y31" i="1"/>
  <c r="Y32" i="1" s="1"/>
  <c r="X31" i="1"/>
  <c r="X32" i="1" s="1"/>
  <c r="W31" i="1"/>
  <c r="V31" i="1"/>
  <c r="U31" i="1"/>
  <c r="T31" i="1"/>
  <c r="T32" i="1" s="1"/>
  <c r="S31" i="1"/>
  <c r="R31" i="1"/>
  <c r="Q31" i="1"/>
  <c r="Q32" i="1" s="1"/>
  <c r="P31" i="1"/>
  <c r="P32" i="1" s="1"/>
  <c r="O31" i="1"/>
  <c r="N31" i="1"/>
  <c r="M31" i="1"/>
  <c r="M32" i="1" s="1"/>
  <c r="L31" i="1"/>
  <c r="L32" i="1" s="1"/>
  <c r="K31" i="1"/>
  <c r="K32" i="1" s="1"/>
  <c r="K15" i="1" s="1"/>
  <c r="J31" i="1"/>
  <c r="I31" i="1"/>
  <c r="I32" i="1" s="1"/>
  <c r="H31" i="1"/>
  <c r="H32" i="1" s="1"/>
  <c r="G31" i="1"/>
  <c r="F31" i="1"/>
  <c r="E31" i="1"/>
  <c r="D31" i="1"/>
  <c r="D32" i="1" s="1"/>
  <c r="C31" i="1"/>
  <c r="BC29" i="1"/>
  <c r="BC32" i="1" s="1"/>
  <c r="BC5" i="1" s="1"/>
  <c r="BA29" i="1"/>
  <c r="AZ29" i="1"/>
  <c r="AY29" i="1"/>
  <c r="AX29" i="1"/>
  <c r="AX32" i="1" s="1"/>
  <c r="AX15" i="1" s="1"/>
  <c r="AW29" i="1"/>
  <c r="AV29" i="1"/>
  <c r="AU29" i="1"/>
  <c r="AU32" i="1" s="1"/>
  <c r="AT29" i="1"/>
  <c r="AS29" i="1"/>
  <c r="AR29" i="1"/>
  <c r="AQ29" i="1"/>
  <c r="AP29" i="1"/>
  <c r="AP32" i="1" s="1"/>
  <c r="AP15" i="1" s="1"/>
  <c r="AO29" i="1"/>
  <c r="AN29" i="1"/>
  <c r="AM29" i="1"/>
  <c r="AM32" i="1" s="1"/>
  <c r="AL29" i="1"/>
  <c r="AK29" i="1"/>
  <c r="AJ29" i="1"/>
  <c r="AI29" i="1"/>
  <c r="AH29" i="1"/>
  <c r="AH32" i="1" s="1"/>
  <c r="AH15" i="1" s="1"/>
  <c r="AG29" i="1"/>
  <c r="AF29" i="1"/>
  <c r="AE29" i="1"/>
  <c r="AE32" i="1" s="1"/>
  <c r="AD29" i="1"/>
  <c r="AC29" i="1"/>
  <c r="AB29" i="1"/>
  <c r="AA29" i="1"/>
  <c r="Z29" i="1"/>
  <c r="Z32" i="1" s="1"/>
  <c r="Z15" i="1" s="1"/>
  <c r="Y29" i="1"/>
  <c r="X29" i="1"/>
  <c r="W29" i="1"/>
  <c r="W32" i="1" s="1"/>
  <c r="V29" i="1"/>
  <c r="U29" i="1"/>
  <c r="T29" i="1"/>
  <c r="S29" i="1"/>
  <c r="R29" i="1"/>
  <c r="R32" i="1" s="1"/>
  <c r="R15" i="1" s="1"/>
  <c r="Q29" i="1"/>
  <c r="P29" i="1"/>
  <c r="O29" i="1"/>
  <c r="O32" i="1" s="1"/>
  <c r="N29" i="1"/>
  <c r="M29" i="1"/>
  <c r="L29" i="1"/>
  <c r="K29" i="1"/>
  <c r="J29" i="1"/>
  <c r="J32" i="1" s="1"/>
  <c r="J15" i="1" s="1"/>
  <c r="I29" i="1"/>
  <c r="H29" i="1"/>
  <c r="G29" i="1"/>
  <c r="G32" i="1" s="1"/>
  <c r="F29" i="1"/>
  <c r="E29" i="1"/>
  <c r="D29" i="1"/>
  <c r="C29" i="1"/>
  <c r="BC28" i="1"/>
  <c r="AR26" i="1"/>
  <c r="AQ26" i="1"/>
  <c r="AP26" i="1"/>
  <c r="AN26" i="1"/>
  <c r="AJ26" i="1"/>
  <c r="AI26" i="1"/>
  <c r="AH26" i="1"/>
  <c r="R26" i="1"/>
  <c r="L26" i="1"/>
  <c r="C26" i="1"/>
  <c r="BD25" i="1"/>
  <c r="BD28" i="1" s="1"/>
  <c r="BD29" i="1" s="1"/>
  <c r="BD4" i="1" s="1"/>
  <c r="BC25" i="1"/>
  <c r="BB25" i="1"/>
  <c r="BB28" i="1" s="1"/>
  <c r="BB29" i="1" s="1"/>
  <c r="BB32" i="1" s="1"/>
  <c r="BA25" i="1"/>
  <c r="AZ25" i="1"/>
  <c r="AY25" i="1"/>
  <c r="AX25" i="1"/>
  <c r="AW25" i="1"/>
  <c r="AV25" i="1"/>
  <c r="AU25" i="1"/>
  <c r="AT25" i="1"/>
  <c r="AR22" i="1"/>
  <c r="AO22" i="1"/>
  <c r="AM26" i="1" s="1"/>
  <c r="R19" i="1"/>
  <c r="AF26" i="1" s="1"/>
  <c r="H19" i="1"/>
  <c r="P26" i="1" s="1"/>
  <c r="AA18" i="1"/>
  <c r="AA19" i="1" s="1"/>
  <c r="AA26" i="1" s="1"/>
  <c r="R18" i="1"/>
  <c r="H18" i="1"/>
  <c r="AZ15" i="1"/>
  <c r="AR15" i="1"/>
  <c r="AJ15" i="1"/>
  <c r="AB15" i="1"/>
  <c r="AA15" i="1"/>
  <c r="T15" i="1"/>
  <c r="L15" i="1"/>
  <c r="D15" i="1"/>
  <c r="BB4" i="1"/>
  <c r="BA4" i="1"/>
  <c r="BD4" i="5" l="1"/>
  <c r="BD29" i="5"/>
  <c r="BD15" i="5" s="1"/>
  <c r="BD3" i="5" s="1"/>
  <c r="BD38" i="9"/>
  <c r="BD40" i="9" s="1"/>
  <c r="BD7" i="9" s="1"/>
  <c r="BD5" i="4"/>
  <c r="E51" i="2"/>
  <c r="E52" i="2" s="1"/>
  <c r="E26" i="2" s="1"/>
  <c r="U51" i="2"/>
  <c r="U52" i="2" s="1"/>
  <c r="U26" i="2" s="1"/>
  <c r="O15" i="1"/>
  <c r="AE15" i="1"/>
  <c r="AU15" i="1"/>
  <c r="BB43" i="2"/>
  <c r="BB8" i="2" s="1"/>
  <c r="BC42" i="2"/>
  <c r="AH5" i="4"/>
  <c r="AH39" i="4"/>
  <c r="AH16" i="4" s="1"/>
  <c r="AH3" i="4" s="1"/>
  <c r="AI26" i="4"/>
  <c r="I15" i="1"/>
  <c r="Q15" i="1"/>
  <c r="Y15" i="1"/>
  <c r="AG15" i="1"/>
  <c r="AO15" i="1"/>
  <c r="AW15" i="1"/>
  <c r="H51" i="2"/>
  <c r="H52" i="2" s="1"/>
  <c r="H26" i="2" s="1"/>
  <c r="X51" i="2"/>
  <c r="X52" i="2" s="1"/>
  <c r="X26" i="2" s="1"/>
  <c r="AN51" i="2"/>
  <c r="AN52" i="2" s="1"/>
  <c r="AN26" i="2" s="1"/>
  <c r="BA23" i="6"/>
  <c r="BA24" i="6" s="1"/>
  <c r="BB22" i="6"/>
  <c r="AC51" i="2"/>
  <c r="AC52" i="2" s="1"/>
  <c r="AC26" i="2" s="1"/>
  <c r="G15" i="1"/>
  <c r="W15" i="1"/>
  <c r="AM15" i="1"/>
  <c r="BC15" i="1"/>
  <c r="BC3" i="1" s="1"/>
  <c r="BB5" i="1"/>
  <c r="BB15" i="1"/>
  <c r="BB3" i="1" s="1"/>
  <c r="AE30" i="9"/>
  <c r="AE32" i="9" s="1"/>
  <c r="AF29" i="9"/>
  <c r="BA6" i="4"/>
  <c r="K30" i="9"/>
  <c r="K32" i="9" s="1"/>
  <c r="C28" i="9"/>
  <c r="L28" i="9"/>
  <c r="S26" i="1"/>
  <c r="BB6" i="2"/>
  <c r="BB36" i="2"/>
  <c r="C39" i="2"/>
  <c r="AA39" i="2"/>
  <c r="BA15" i="1"/>
  <c r="BA3" i="1" s="1"/>
  <c r="AB26" i="1"/>
  <c r="AP38" i="2"/>
  <c r="AP39" i="2" s="1"/>
  <c r="AP51" i="2" s="1"/>
  <c r="AP52" i="2" s="1"/>
  <c r="AP26" i="2" s="1"/>
  <c r="AP34" i="2"/>
  <c r="AP36" i="2" s="1"/>
  <c r="BA48" i="2"/>
  <c r="O51" i="2"/>
  <c r="O52" i="2" s="1"/>
  <c r="O26" i="2" s="1"/>
  <c r="AE51" i="2"/>
  <c r="AE52" i="2" s="1"/>
  <c r="AE26" i="2" s="1"/>
  <c r="AK18" i="4"/>
  <c r="AJ19" i="4"/>
  <c r="AJ20" i="4" s="1"/>
  <c r="BD32" i="1"/>
  <c r="BD5" i="1" s="1"/>
  <c r="C51" i="2"/>
  <c r="C52" i="2" s="1"/>
  <c r="C26" i="2" s="1"/>
  <c r="AA51" i="2"/>
  <c r="AA52" i="2" s="1"/>
  <c r="AA26" i="2" s="1"/>
  <c r="AQ51" i="2"/>
  <c r="AQ52" i="2" s="1"/>
  <c r="AQ26" i="2" s="1"/>
  <c r="AQ3" i="2" s="1"/>
  <c r="AU47" i="2"/>
  <c r="L47" i="3"/>
  <c r="L32" i="3" s="1"/>
  <c r="L3" i="3" s="1"/>
  <c r="AB47" i="3"/>
  <c r="AB32" i="3" s="1"/>
  <c r="AB3" i="3" s="1"/>
  <c r="H47" i="3"/>
  <c r="H32" i="3" s="1"/>
  <c r="H3" i="3" s="1"/>
  <c r="X47" i="3"/>
  <c r="X32" i="3" s="1"/>
  <c r="X3" i="3" s="1"/>
  <c r="P18" i="4"/>
  <c r="AY4" i="9"/>
  <c r="AY26" i="9"/>
  <c r="AY3" i="9" s="1"/>
  <c r="BD15" i="1"/>
  <c r="BD3" i="1" s="1"/>
  <c r="K39" i="2"/>
  <c r="K51" i="2" s="1"/>
  <c r="K52" i="2" s="1"/>
  <c r="K26" i="2" s="1"/>
  <c r="S39" i="2"/>
  <c r="S51" i="2" s="1"/>
  <c r="S52" i="2" s="1"/>
  <c r="S26" i="2" s="1"/>
  <c r="AI39" i="2"/>
  <c r="AI51" i="2" s="1"/>
  <c r="AI52" i="2" s="1"/>
  <c r="AI26" i="2" s="1"/>
  <c r="BC4" i="1"/>
  <c r="O26" i="1"/>
  <c r="G26" i="1"/>
  <c r="N26" i="1"/>
  <c r="F26" i="1"/>
  <c r="M26" i="1"/>
  <c r="E26" i="1"/>
  <c r="Q26" i="1"/>
  <c r="I26" i="1"/>
  <c r="D26" i="1"/>
  <c r="T26" i="1"/>
  <c r="AY47" i="2"/>
  <c r="G51" i="2"/>
  <c r="G52" i="2" s="1"/>
  <c r="G26" i="2" s="1"/>
  <c r="W51" i="2"/>
  <c r="W52" i="2" s="1"/>
  <c r="W26" i="2" s="1"/>
  <c r="AM51" i="2"/>
  <c r="AM52" i="2" s="1"/>
  <c r="AM26" i="2" s="1"/>
  <c r="G47" i="3"/>
  <c r="G32" i="3" s="1"/>
  <c r="G3" i="3" s="1"/>
  <c r="O47" i="3"/>
  <c r="O32" i="3" s="1"/>
  <c r="O3" i="3" s="1"/>
  <c r="W47" i="3"/>
  <c r="W32" i="3" s="1"/>
  <c r="W3" i="3" s="1"/>
  <c r="AE47" i="3"/>
  <c r="AE32" i="3" s="1"/>
  <c r="AE3" i="3" s="1"/>
  <c r="AM47" i="3"/>
  <c r="AM32" i="3" s="1"/>
  <c r="AM3" i="3" s="1"/>
  <c r="AU47" i="3"/>
  <c r="AU32" i="3" s="1"/>
  <c r="AU3" i="3" s="1"/>
  <c r="BC47" i="3"/>
  <c r="BC32" i="3" s="1"/>
  <c r="BC3" i="3" s="1"/>
  <c r="O39" i="4"/>
  <c r="O16" i="4" s="1"/>
  <c r="BC6" i="4"/>
  <c r="AR25" i="5"/>
  <c r="AJ25" i="5"/>
  <c r="AA25" i="5"/>
  <c r="S25" i="5"/>
  <c r="AP25" i="5"/>
  <c r="AH25" i="5"/>
  <c r="Y25" i="5"/>
  <c r="AL25" i="5"/>
  <c r="AC25" i="5"/>
  <c r="U25" i="5"/>
  <c r="AK25" i="5"/>
  <c r="W25" i="5"/>
  <c r="AI25" i="5"/>
  <c r="V25" i="5"/>
  <c r="AG25" i="5"/>
  <c r="T25" i="5"/>
  <c r="AN25" i="5"/>
  <c r="Z25" i="5"/>
  <c r="AE25" i="5"/>
  <c r="AD25" i="5"/>
  <c r="AB25" i="5"/>
  <c r="AO25" i="5"/>
  <c r="AQ25" i="5"/>
  <c r="AE26" i="1"/>
  <c r="W26" i="1"/>
  <c r="AD26" i="1"/>
  <c r="V26" i="1"/>
  <c r="AC26" i="1"/>
  <c r="U26" i="1"/>
  <c r="Y26" i="1"/>
  <c r="H26" i="1"/>
  <c r="X26" i="1"/>
  <c r="BB39" i="2"/>
  <c r="BB7" i="2" s="1"/>
  <c r="BB47" i="2"/>
  <c r="AN47" i="3"/>
  <c r="AN32" i="3" s="1"/>
  <c r="AN3" i="3" s="1"/>
  <c r="X39" i="4"/>
  <c r="X16" i="4" s="1"/>
  <c r="AG36" i="4"/>
  <c r="W35" i="4"/>
  <c r="AH35" i="4"/>
  <c r="J26" i="1"/>
  <c r="Z26" i="1"/>
  <c r="I47" i="3"/>
  <c r="I32" i="3" s="1"/>
  <c r="I3" i="3" s="1"/>
  <c r="Q47" i="3"/>
  <c r="Q32" i="3" s="1"/>
  <c r="Q3" i="3" s="1"/>
  <c r="Y47" i="3"/>
  <c r="Y32" i="3" s="1"/>
  <c r="Y3" i="3" s="1"/>
  <c r="AG47" i="3"/>
  <c r="AG32" i="3" s="1"/>
  <c r="AG3" i="3" s="1"/>
  <c r="AO47" i="3"/>
  <c r="AO32" i="3" s="1"/>
  <c r="AO3" i="3" s="1"/>
  <c r="AW47" i="3"/>
  <c r="AW32" i="3" s="1"/>
  <c r="AW3" i="3" s="1"/>
  <c r="D19" i="4"/>
  <c r="D20" i="4" s="1"/>
  <c r="D39" i="4" s="1"/>
  <c r="D16" i="4" s="1"/>
  <c r="E18" i="4"/>
  <c r="AY18" i="4"/>
  <c r="AX19" i="4"/>
  <c r="AX20" i="4" s="1"/>
  <c r="AX4" i="4" s="1"/>
  <c r="AR5" i="5"/>
  <c r="AS5" i="5"/>
  <c r="K26" i="1"/>
  <c r="V47" i="3"/>
  <c r="V32" i="3" s="1"/>
  <c r="V3" i="3" s="1"/>
  <c r="AV47" i="3"/>
  <c r="AV32" i="3" s="1"/>
  <c r="AV3" i="3" s="1"/>
  <c r="AL23" i="4"/>
  <c r="AW4" i="9"/>
  <c r="AG26" i="1"/>
  <c r="AO26" i="1"/>
  <c r="Z18" i="4"/>
  <c r="Y19" i="4"/>
  <c r="Y20" i="4" s="1"/>
  <c r="Y39" i="4" s="1"/>
  <c r="Y16" i="4" s="1"/>
  <c r="N39" i="4"/>
  <c r="N16" i="4" s="1"/>
  <c r="O28" i="6"/>
  <c r="O16" i="6" s="1"/>
  <c r="AU28" i="6"/>
  <c r="AU16" i="6" s="1"/>
  <c r="AV18" i="7"/>
  <c r="BD43" i="9"/>
  <c r="BD9" i="9" s="1"/>
  <c r="BD8" i="9"/>
  <c r="AK26" i="1"/>
  <c r="AS26" i="1"/>
  <c r="AS27" i="1" s="1"/>
  <c r="AR27" i="1" s="1"/>
  <c r="AQ27" i="1" s="1"/>
  <c r="AP27" i="1" s="1"/>
  <c r="AO27" i="1" s="1"/>
  <c r="AN27" i="1" s="1"/>
  <c r="AM27" i="1" s="1"/>
  <c r="AL27" i="1" s="1"/>
  <c r="AK27" i="1" s="1"/>
  <c r="AJ27" i="1" s="1"/>
  <c r="AI27" i="1" s="1"/>
  <c r="AH27" i="1" s="1"/>
  <c r="AG27" i="1" s="1"/>
  <c r="AF27" i="1" s="1"/>
  <c r="AE27" i="1" s="1"/>
  <c r="AD27" i="1" s="1"/>
  <c r="AC27" i="1" s="1"/>
  <c r="AB27" i="1" s="1"/>
  <c r="AA27" i="1" s="1"/>
  <c r="Z27" i="1" s="1"/>
  <c r="Y27" i="1" s="1"/>
  <c r="X27" i="1" s="1"/>
  <c r="W27" i="1" s="1"/>
  <c r="V27" i="1" s="1"/>
  <c r="U27" i="1" s="1"/>
  <c r="T27" i="1" s="1"/>
  <c r="S27" i="1" s="1"/>
  <c r="R27" i="1" s="1"/>
  <c r="Q27" i="1" s="1"/>
  <c r="P27" i="1" s="1"/>
  <c r="O27" i="1" s="1"/>
  <c r="N27" i="1" s="1"/>
  <c r="M27" i="1" s="1"/>
  <c r="L27" i="1" s="1"/>
  <c r="K27" i="1" s="1"/>
  <c r="J27" i="1" s="1"/>
  <c r="I27" i="1" s="1"/>
  <c r="H27" i="1" s="1"/>
  <c r="G27" i="1" s="1"/>
  <c r="F27" i="1" s="1"/>
  <c r="E27" i="1" s="1"/>
  <c r="D27" i="1" s="1"/>
  <c r="C27" i="1" s="1"/>
  <c r="AS19" i="4"/>
  <c r="AS20" i="4" s="1"/>
  <c r="AT18" i="4"/>
  <c r="AR4" i="7"/>
  <c r="AS15" i="7"/>
  <c r="BB17" i="8"/>
  <c r="BB3" i="8" s="1"/>
  <c r="BB5" i="8"/>
  <c r="AW17" i="8"/>
  <c r="AW3" i="8" s="1"/>
  <c r="AW5" i="8"/>
  <c r="W28" i="9"/>
  <c r="V30" i="9"/>
  <c r="V32" i="9" s="1"/>
  <c r="BA26" i="9"/>
  <c r="BA3" i="9" s="1"/>
  <c r="BA4" i="9"/>
  <c r="AL26" i="1"/>
  <c r="AS23" i="4"/>
  <c r="C39" i="4"/>
  <c r="C16" i="4" s="1"/>
  <c r="AY6" i="4"/>
  <c r="D28" i="6"/>
  <c r="D16" i="6" s="1"/>
  <c r="T28" i="6"/>
  <c r="T16" i="6" s="1"/>
  <c r="AZ28" i="6"/>
  <c r="AZ16" i="6" s="1"/>
  <c r="AY5" i="8"/>
  <c r="AY17" i="8"/>
  <c r="AY3" i="8" s="1"/>
  <c r="AH19" i="4"/>
  <c r="AH20" i="4" s="1"/>
  <c r="BD5" i="5"/>
  <c r="W22" i="6"/>
  <c r="X22" i="6" s="1"/>
  <c r="Y22" i="6" s="1"/>
  <c r="Z22" i="6" s="1"/>
  <c r="AA22" i="6" s="1"/>
  <c r="AB22" i="6" s="1"/>
  <c r="AC22" i="6" s="1"/>
  <c r="AD22" i="6" s="1"/>
  <c r="AE22" i="6" s="1"/>
  <c r="Y28" i="6"/>
  <c r="Y16" i="6" s="1"/>
  <c r="AO28" i="6"/>
  <c r="AO16" i="6" s="1"/>
  <c r="AX4" i="9"/>
  <c r="M28" i="6"/>
  <c r="M16" i="6" s="1"/>
  <c r="AC28" i="6"/>
  <c r="AC16" i="6" s="1"/>
  <c r="AX17" i="8"/>
  <c r="AX3" i="8" s="1"/>
  <c r="AX5" i="8"/>
  <c r="BD5" i="9"/>
  <c r="BC4" i="5"/>
  <c r="BC5" i="5" s="1"/>
  <c r="BC29" i="5"/>
  <c r="BC15" i="5" s="1"/>
  <c r="BC3" i="5" s="1"/>
  <c r="M22" i="6"/>
  <c r="N22" i="6" s="1"/>
  <c r="O22" i="6" s="1"/>
  <c r="G28" i="6"/>
  <c r="G16" i="6" s="1"/>
  <c r="W28" i="6"/>
  <c r="W16" i="6" s="1"/>
  <c r="AM28" i="6"/>
  <c r="AM16" i="6" s="1"/>
  <c r="V19" i="7"/>
  <c r="V14" i="7" s="1"/>
  <c r="BC29" i="9"/>
  <c r="BC30" i="9" s="1"/>
  <c r="BC32" i="9" s="1"/>
  <c r="BB30" i="9"/>
  <c r="BB32" i="9" s="1"/>
  <c r="M39" i="9"/>
  <c r="M40" i="9" s="1"/>
  <c r="N34" i="9"/>
  <c r="M41" i="9"/>
  <c r="M43" i="9" s="1"/>
  <c r="C34" i="9"/>
  <c r="AR41" i="9"/>
  <c r="AR43" i="9" s="1"/>
  <c r="AR39" i="9"/>
  <c r="AR40" i="9" s="1"/>
  <c r="AS34" i="9"/>
  <c r="AW40" i="9"/>
  <c r="AW7" i="9" s="1"/>
  <c r="AW5" i="9"/>
  <c r="R17" i="10"/>
  <c r="S16" i="10"/>
  <c r="U18" i="7"/>
  <c r="AG19" i="7"/>
  <c r="AG14" i="7" s="1"/>
  <c r="BD5" i="8"/>
  <c r="BD17" i="8"/>
  <c r="BD3" i="8" s="1"/>
  <c r="X18" i="7"/>
  <c r="AI18" i="7"/>
  <c r="W19" i="7"/>
  <c r="W14" i="7" s="1"/>
  <c r="AS19" i="7"/>
  <c r="AS14" i="7" s="1"/>
  <c r="BA17" i="8"/>
  <c r="BA3" i="8" s="1"/>
  <c r="W39" i="9"/>
  <c r="W40" i="9" s="1"/>
  <c r="X34" i="9"/>
  <c r="BC40" i="9"/>
  <c r="BC7" i="9" s="1"/>
  <c r="BC5" i="9"/>
  <c r="AH40" i="9"/>
  <c r="AX40" i="9"/>
  <c r="AX7" i="9" s="1"/>
  <c r="AX5" i="9"/>
  <c r="AJ34" i="9"/>
  <c r="BB8" i="9"/>
  <c r="BB43" i="9"/>
  <c r="BB9" i="9" s="1"/>
  <c r="BC47" i="2" l="1"/>
  <c r="BB9" i="2"/>
  <c r="BB48" i="2"/>
  <c r="AA18" i="4"/>
  <c r="Z19" i="4"/>
  <c r="Z20" i="4" s="1"/>
  <c r="Z39" i="4" s="1"/>
  <c r="Z16" i="4" s="1"/>
  <c r="AJ18" i="7"/>
  <c r="AI19" i="7"/>
  <c r="AI14" i="7" s="1"/>
  <c r="AT15" i="7"/>
  <c r="AS4" i="7"/>
  <c r="AU48" i="2"/>
  <c r="AU50" i="2" s="1"/>
  <c r="AU51" i="2" s="1"/>
  <c r="AU52" i="2" s="1"/>
  <c r="AU26" i="2" s="1"/>
  <c r="AU3" i="2" s="1"/>
  <c r="AV47" i="2"/>
  <c r="AZ18" i="4"/>
  <c r="AY19" i="4"/>
  <c r="AY20" i="4" s="1"/>
  <c r="AY4" i="4" s="1"/>
  <c r="AJ41" i="9"/>
  <c r="AJ43" i="9" s="1"/>
  <c r="AJ39" i="9"/>
  <c r="AJ40" i="9" s="1"/>
  <c r="AK34" i="9"/>
  <c r="AJ26" i="4"/>
  <c r="AI27" i="4"/>
  <c r="AI24" i="4" s="1"/>
  <c r="AI25" i="4" s="1"/>
  <c r="AI29" i="4" s="1"/>
  <c r="X39" i="9"/>
  <c r="X40" i="9" s="1"/>
  <c r="Y34" i="9"/>
  <c r="X41" i="9"/>
  <c r="X43" i="9" s="1"/>
  <c r="X28" i="9"/>
  <c r="W30" i="9"/>
  <c r="W32" i="9" s="1"/>
  <c r="W26" i="9" s="1"/>
  <c r="AW26" i="9"/>
  <c r="AW3" i="9" s="1"/>
  <c r="AK19" i="4"/>
  <c r="AK20" i="4" s="1"/>
  <c r="AL18" i="4"/>
  <c r="BB23" i="6"/>
  <c r="BB24" i="6" s="1"/>
  <c r="BC22" i="6"/>
  <c r="AI35" i="4"/>
  <c r="AH36" i="4"/>
  <c r="BA4" i="6"/>
  <c r="BA28" i="6"/>
  <c r="U19" i="7"/>
  <c r="U14" i="7" s="1"/>
  <c r="T18" i="7"/>
  <c r="BB4" i="9"/>
  <c r="BB26" i="9"/>
  <c r="BB3" i="9" s="1"/>
  <c r="AX26" i="9"/>
  <c r="AX3" i="9" s="1"/>
  <c r="AW18" i="7"/>
  <c r="X35" i="4"/>
  <c r="W36" i="4"/>
  <c r="M35" i="4"/>
  <c r="AZ47" i="2"/>
  <c r="AZ48" i="2" s="1"/>
  <c r="AZ50" i="2" s="1"/>
  <c r="AZ51" i="2" s="1"/>
  <c r="AZ52" i="2" s="1"/>
  <c r="AZ26" i="2" s="1"/>
  <c r="AZ3" i="2" s="1"/>
  <c r="AY48" i="2"/>
  <c r="AY50" i="2" s="1"/>
  <c r="AY51" i="2" s="1"/>
  <c r="AY52" i="2" s="1"/>
  <c r="AY26" i="2" s="1"/>
  <c r="AY3" i="2" s="1"/>
  <c r="BD42" i="2"/>
  <c r="BD43" i="2" s="1"/>
  <c r="BC43" i="2"/>
  <c r="BC8" i="2" s="1"/>
  <c r="L30" i="9"/>
  <c r="L32" i="9" s="1"/>
  <c r="M28" i="9"/>
  <c r="E19" i="4"/>
  <c r="E20" i="4" s="1"/>
  <c r="E39" i="4" s="1"/>
  <c r="E16" i="4" s="1"/>
  <c r="F18" i="4"/>
  <c r="C30" i="9"/>
  <c r="C32" i="9" s="1"/>
  <c r="C26" i="9" s="1"/>
  <c r="D28" i="9"/>
  <c r="AT23" i="4"/>
  <c r="Q18" i="4"/>
  <c r="P19" i="4"/>
  <c r="P20" i="4" s="1"/>
  <c r="P39" i="4" s="1"/>
  <c r="P16" i="4" s="1"/>
  <c r="AS39" i="9"/>
  <c r="AS40" i="9" s="1"/>
  <c r="AS41" i="9"/>
  <c r="AS43" i="9" s="1"/>
  <c r="BA10" i="2"/>
  <c r="BA50" i="2"/>
  <c r="X19" i="7"/>
  <c r="X14" i="7" s="1"/>
  <c r="Y18" i="7"/>
  <c r="C41" i="9"/>
  <c r="C43" i="9" s="1"/>
  <c r="D34" i="9"/>
  <c r="C39" i="9"/>
  <c r="C40" i="9" s="1"/>
  <c r="N39" i="9"/>
  <c r="N40" i="9" s="1"/>
  <c r="N41" i="9"/>
  <c r="N43" i="9" s="1"/>
  <c r="O34" i="9"/>
  <c r="BC26" i="9"/>
  <c r="BC3" i="9" s="1"/>
  <c r="BC4" i="9"/>
  <c r="BD32" i="9"/>
  <c r="Q17" i="10"/>
  <c r="R16" i="10"/>
  <c r="AT19" i="4"/>
  <c r="AT20" i="4" s="1"/>
  <c r="AU18" i="4"/>
  <c r="AM23" i="4"/>
  <c r="AG29" i="9"/>
  <c r="AF30" i="9"/>
  <c r="AF32" i="9" s="1"/>
  <c r="O39" i="9" l="1"/>
  <c r="O40" i="9" s="1"/>
  <c r="P34" i="9"/>
  <c r="O41" i="9"/>
  <c r="O43" i="9" s="1"/>
  <c r="Y41" i="9"/>
  <c r="Y43" i="9" s="1"/>
  <c r="Z34" i="9"/>
  <c r="Y39" i="9"/>
  <c r="Y40" i="9" s="1"/>
  <c r="BA18" i="4"/>
  <c r="AZ19" i="4"/>
  <c r="AZ20" i="4" s="1"/>
  <c r="T19" i="7"/>
  <c r="T14" i="7" s="1"/>
  <c r="S18" i="7"/>
  <c r="AM18" i="4"/>
  <c r="AL19" i="4"/>
  <c r="AL20" i="4" s="1"/>
  <c r="AN23" i="4"/>
  <c r="BD48" i="2"/>
  <c r="BD8" i="2"/>
  <c r="AI36" i="4"/>
  <c r="AJ35" i="4"/>
  <c r="BA51" i="2"/>
  <c r="BA52" i="2" s="1"/>
  <c r="BA26" i="2" s="1"/>
  <c r="BA3" i="2" s="1"/>
  <c r="BA11" i="2"/>
  <c r="D30" i="9"/>
  <c r="D32" i="9" s="1"/>
  <c r="E28" i="9"/>
  <c r="AJ19" i="7"/>
  <c r="AJ14" i="7" s="1"/>
  <c r="AK18" i="7"/>
  <c r="F19" i="4"/>
  <c r="F20" i="4" s="1"/>
  <c r="F39" i="4" s="1"/>
  <c r="F16" i="4" s="1"/>
  <c r="G18" i="4"/>
  <c r="AI39" i="4"/>
  <c r="AI16" i="4" s="1"/>
  <c r="AI3" i="4" s="1"/>
  <c r="AI5" i="4"/>
  <c r="AK26" i="4"/>
  <c r="AJ27" i="4"/>
  <c r="AJ24" i="4" s="1"/>
  <c r="AJ25" i="4" s="1"/>
  <c r="AJ29" i="4" s="1"/>
  <c r="AV48" i="2"/>
  <c r="AV50" i="2" s="1"/>
  <c r="AV51" i="2" s="1"/>
  <c r="AV52" i="2" s="1"/>
  <c r="AV26" i="2" s="1"/>
  <c r="AV3" i="2" s="1"/>
  <c r="AW47" i="2"/>
  <c r="AW48" i="2" s="1"/>
  <c r="AW50" i="2" s="1"/>
  <c r="AW51" i="2" s="1"/>
  <c r="AW52" i="2" s="1"/>
  <c r="AW26" i="2" s="1"/>
  <c r="AW3" i="2" s="1"/>
  <c r="AB18" i="4"/>
  <c r="AA19" i="4"/>
  <c r="AA20" i="4" s="1"/>
  <c r="AA39" i="4" s="1"/>
  <c r="AA16" i="4" s="1"/>
  <c r="P17" i="10"/>
  <c r="Q16" i="10"/>
  <c r="D41" i="9"/>
  <c r="D43" i="9" s="1"/>
  <c r="D39" i="9"/>
  <c r="D40" i="9" s="1"/>
  <c r="E34" i="9"/>
  <c r="N28" i="9"/>
  <c r="M30" i="9"/>
  <c r="M32" i="9" s="1"/>
  <c r="M26" i="9" s="1"/>
  <c r="Y35" i="4"/>
  <c r="X36" i="4"/>
  <c r="BA16" i="6"/>
  <c r="BA3" i="6" s="1"/>
  <c r="BA5" i="6"/>
  <c r="BB10" i="2"/>
  <c r="BB50" i="2"/>
  <c r="BB4" i="6"/>
  <c r="BB28" i="6"/>
  <c r="BD22" i="6"/>
  <c r="BD23" i="6" s="1"/>
  <c r="BD24" i="6" s="1"/>
  <c r="BC23" i="6"/>
  <c r="BC24" i="6" s="1"/>
  <c r="AU19" i="4"/>
  <c r="AU20" i="4" s="1"/>
  <c r="AV18" i="4"/>
  <c r="C35" i="4"/>
  <c r="N35" i="4"/>
  <c r="M36" i="4"/>
  <c r="BD4" i="9"/>
  <c r="BD26" i="9"/>
  <c r="BD3" i="9" s="1"/>
  <c r="Q19" i="4"/>
  <c r="Q20" i="4" s="1"/>
  <c r="Q39" i="4" s="1"/>
  <c r="Q16" i="4" s="1"/>
  <c r="R18" i="4"/>
  <c r="AX18" i="7"/>
  <c r="AK39" i="9"/>
  <c r="AK40" i="9" s="1"/>
  <c r="AL34" i="9"/>
  <c r="AK41" i="9"/>
  <c r="AK43" i="9" s="1"/>
  <c r="AG30" i="9"/>
  <c r="AG32" i="9" s="1"/>
  <c r="AG26" i="9" s="1"/>
  <c r="AH29" i="9"/>
  <c r="Z18" i="7"/>
  <c r="Y19" i="7"/>
  <c r="Y14" i="7" s="1"/>
  <c r="AU23" i="4"/>
  <c r="Y28" i="9"/>
  <c r="X30" i="9"/>
  <c r="X32" i="9" s="1"/>
  <c r="X26" i="9" s="1"/>
  <c r="AU15" i="7"/>
  <c r="AT19" i="7"/>
  <c r="AT14" i="7" s="1"/>
  <c r="AT4" i="7"/>
  <c r="BC48" i="2"/>
  <c r="BC9" i="2"/>
  <c r="BB51" i="2" l="1"/>
  <c r="BB52" i="2" s="1"/>
  <c r="BB26" i="2" s="1"/>
  <c r="BB3" i="2" s="1"/>
  <c r="BB11" i="2"/>
  <c r="AW19" i="4"/>
  <c r="AW20" i="4" s="1"/>
  <c r="AV19" i="4"/>
  <c r="AV20" i="4" s="1"/>
  <c r="AO23" i="4"/>
  <c r="BD28" i="6"/>
  <c r="BD4" i="6"/>
  <c r="O28" i="9"/>
  <c r="N30" i="9"/>
  <c r="N32" i="9" s="1"/>
  <c r="N26" i="9" s="1"/>
  <c r="AL18" i="7"/>
  <c r="AK19" i="7"/>
  <c r="AK14" i="7" s="1"/>
  <c r="AZ4" i="4"/>
  <c r="AZ39" i="4"/>
  <c r="AZ16" i="4" s="1"/>
  <c r="AZ3" i="4" s="1"/>
  <c r="AY18" i="7"/>
  <c r="E39" i="9"/>
  <c r="E40" i="9" s="1"/>
  <c r="F34" i="9"/>
  <c r="E41" i="9"/>
  <c r="E43" i="9" s="1"/>
  <c r="BA19" i="4"/>
  <c r="BA20" i="4" s="1"/>
  <c r="BB18" i="4"/>
  <c r="Z19" i="7"/>
  <c r="Z14" i="7" s="1"/>
  <c r="AA18" i="7"/>
  <c r="AH30" i="9"/>
  <c r="AH32" i="9" s="1"/>
  <c r="AH26" i="9" s="1"/>
  <c r="AI29" i="9"/>
  <c r="D26" i="9"/>
  <c r="AV15" i="7"/>
  <c r="AU4" i="7"/>
  <c r="AU19" i="7"/>
  <c r="AU14" i="7" s="1"/>
  <c r="BC4" i="6"/>
  <c r="BC28" i="6"/>
  <c r="O17" i="10"/>
  <c r="P16" i="10"/>
  <c r="AM19" i="4"/>
  <c r="AM20" i="4" s="1"/>
  <c r="AN18" i="4"/>
  <c r="BC50" i="2"/>
  <c r="BC10" i="2"/>
  <c r="O35" i="4"/>
  <c r="N36" i="4"/>
  <c r="BD10" i="2"/>
  <c r="BD50" i="2"/>
  <c r="C36" i="4"/>
  <c r="D35" i="4"/>
  <c r="E30" i="9"/>
  <c r="E32" i="9" s="1"/>
  <c r="E26" i="9" s="1"/>
  <c r="F28" i="9"/>
  <c r="AL39" i="9"/>
  <c r="AL40" i="9" s="1"/>
  <c r="AM34" i="9"/>
  <c r="AL41" i="9"/>
  <c r="AL43" i="9" s="1"/>
  <c r="Y36" i="4"/>
  <c r="Z35" i="4"/>
  <c r="AJ36" i="4"/>
  <c r="AK35" i="4"/>
  <c r="P39" i="9"/>
  <c r="P40" i="9" s="1"/>
  <c r="Q34" i="9"/>
  <c r="P41" i="9"/>
  <c r="P43" i="9" s="1"/>
  <c r="AJ5" i="4"/>
  <c r="AJ39" i="4"/>
  <c r="AJ16" i="4" s="1"/>
  <c r="AJ3" i="4" s="1"/>
  <c r="S18" i="4"/>
  <c r="R19" i="4"/>
  <c r="R20" i="4" s="1"/>
  <c r="R39" i="4" s="1"/>
  <c r="R16" i="4" s="1"/>
  <c r="AL26" i="4"/>
  <c r="AK27" i="4"/>
  <c r="AK24" i="4" s="1"/>
  <c r="AK25" i="4" s="1"/>
  <c r="AK29" i="4" s="1"/>
  <c r="Z41" i="9"/>
  <c r="Z43" i="9" s="1"/>
  <c r="Z39" i="9"/>
  <c r="Z40" i="9" s="1"/>
  <c r="AA34" i="9"/>
  <c r="Y30" i="9"/>
  <c r="Y32" i="9" s="1"/>
  <c r="Y26" i="9" s="1"/>
  <c r="Z28" i="9"/>
  <c r="G19" i="4"/>
  <c r="G20" i="4" s="1"/>
  <c r="G39" i="4" s="1"/>
  <c r="G16" i="4" s="1"/>
  <c r="H18" i="4"/>
  <c r="R18" i="7"/>
  <c r="S19" i="7"/>
  <c r="S14" i="7" s="1"/>
  <c r="AV23" i="4"/>
  <c r="BB5" i="6"/>
  <c r="BB16" i="6"/>
  <c r="BB3" i="6" s="1"/>
  <c r="AC18" i="4"/>
  <c r="AB19" i="4"/>
  <c r="AB20" i="4" s="1"/>
  <c r="AB39" i="4" s="1"/>
  <c r="AB16" i="4" s="1"/>
  <c r="AA19" i="7" l="1"/>
  <c r="AA14" i="7" s="1"/>
  <c r="AB18" i="7"/>
  <c r="Q18" i="7"/>
  <c r="R19" i="7"/>
  <c r="R14" i="7" s="1"/>
  <c r="BC18" i="4"/>
  <c r="BB19" i="4"/>
  <c r="BB20" i="4" s="1"/>
  <c r="AA41" i="9"/>
  <c r="AA43" i="9" s="1"/>
  <c r="AB34" i="9"/>
  <c r="AA39" i="9"/>
  <c r="AA40" i="9" s="1"/>
  <c r="O16" i="10"/>
  <c r="N17" i="10"/>
  <c r="AZ18" i="7"/>
  <c r="AY19" i="7"/>
  <c r="AY14" i="7" s="1"/>
  <c r="AK5" i="4"/>
  <c r="AK39" i="4"/>
  <c r="AK16" i="4" s="1"/>
  <c r="AK3" i="4" s="1"/>
  <c r="G28" i="9"/>
  <c r="F30" i="9"/>
  <c r="F32" i="9" s="1"/>
  <c r="H19" i="4"/>
  <c r="H20" i="4" s="1"/>
  <c r="H39" i="4" s="1"/>
  <c r="H16" i="4" s="1"/>
  <c r="I18" i="4"/>
  <c r="AM26" i="4"/>
  <c r="AL27" i="4"/>
  <c r="AL24" i="4" s="1"/>
  <c r="AL25" i="4" s="1"/>
  <c r="AL29" i="4" s="1"/>
  <c r="AL35" i="4"/>
  <c r="AK36" i="4"/>
  <c r="BC51" i="2"/>
  <c r="BC52" i="2" s="1"/>
  <c r="BC26" i="2" s="1"/>
  <c r="BC3" i="2" s="1"/>
  <c r="BC11" i="2"/>
  <c r="BA4" i="4"/>
  <c r="BA39" i="4"/>
  <c r="BA16" i="4" s="1"/>
  <c r="BA3" i="4" s="1"/>
  <c r="AC19" i="4"/>
  <c r="AC20" i="4" s="1"/>
  <c r="AC39" i="4" s="1"/>
  <c r="AC16" i="4" s="1"/>
  <c r="AD18" i="4"/>
  <c r="D36" i="4"/>
  <c r="E35" i="4"/>
  <c r="AO18" i="4"/>
  <c r="AN19" i="4"/>
  <c r="AN20" i="4" s="1"/>
  <c r="AV4" i="7"/>
  <c r="AW15" i="7"/>
  <c r="AV19" i="7"/>
  <c r="AV14" i="7" s="1"/>
  <c r="AM18" i="7"/>
  <c r="AL19" i="7"/>
  <c r="AL14" i="7" s="1"/>
  <c r="AW23" i="4"/>
  <c r="AM39" i="9"/>
  <c r="AM40" i="9" s="1"/>
  <c r="AN34" i="9"/>
  <c r="AM41" i="9"/>
  <c r="AM43" i="9" s="1"/>
  <c r="BC5" i="6"/>
  <c r="BC16" i="6"/>
  <c r="BC3" i="6" s="1"/>
  <c r="BD16" i="6"/>
  <c r="BD3" i="6" s="1"/>
  <c r="BD5" i="6"/>
  <c r="Q41" i="9"/>
  <c r="Q43" i="9" s="1"/>
  <c r="R34" i="9"/>
  <c r="Q39" i="9"/>
  <c r="Q40" i="9" s="1"/>
  <c r="P35" i="4"/>
  <c r="O36" i="4"/>
  <c r="AP23" i="4"/>
  <c r="Z30" i="9"/>
  <c r="Z32" i="9" s="1"/>
  <c r="Z26" i="9" s="1"/>
  <c r="AA28" i="9"/>
  <c r="S19" i="4"/>
  <c r="S20" i="4" s="1"/>
  <c r="S39" i="4" s="1"/>
  <c r="S16" i="4" s="1"/>
  <c r="T18" i="4"/>
  <c r="AA35" i="4"/>
  <c r="Z36" i="4"/>
  <c r="F39" i="9"/>
  <c r="F40" i="9" s="1"/>
  <c r="G34" i="9"/>
  <c r="F41" i="9"/>
  <c r="F43" i="9" s="1"/>
  <c r="BD11" i="2"/>
  <c r="BD51" i="2"/>
  <c r="BD52" i="2" s="1"/>
  <c r="BD26" i="2" s="1"/>
  <c r="BD3" i="2" s="1"/>
  <c r="AJ29" i="9"/>
  <c r="AI30" i="9"/>
  <c r="AI32" i="9" s="1"/>
  <c r="AI26" i="9" s="1"/>
  <c r="O30" i="9"/>
  <c r="O32" i="9" s="1"/>
  <c r="O26" i="9" s="1"/>
  <c r="P28" i="9"/>
  <c r="G39" i="9" l="1"/>
  <c r="G40" i="9" s="1"/>
  <c r="H34" i="9"/>
  <c r="G41" i="9"/>
  <c r="G43" i="9" s="1"/>
  <c r="AM35" i="4"/>
  <c r="AL36" i="4"/>
  <c r="Q28" i="9"/>
  <c r="P30" i="9"/>
  <c r="P32" i="9" s="1"/>
  <c r="P26" i="9" s="1"/>
  <c r="AK29" i="9"/>
  <c r="AJ30" i="9"/>
  <c r="AJ32" i="9" s="1"/>
  <c r="AJ26" i="9" s="1"/>
  <c r="AA30" i="9"/>
  <c r="AA32" i="9" s="1"/>
  <c r="AA26" i="9" s="1"/>
  <c r="AB28" i="9"/>
  <c r="AO19" i="4"/>
  <c r="AO20" i="4" s="1"/>
  <c r="AP18" i="4"/>
  <c r="H28" i="9"/>
  <c r="G30" i="9"/>
  <c r="G32" i="9" s="1"/>
  <c r="G26" i="9" s="1"/>
  <c r="AB41" i="9"/>
  <c r="AB43" i="9" s="1"/>
  <c r="AB39" i="9"/>
  <c r="AB40" i="9" s="1"/>
  <c r="AC34" i="9"/>
  <c r="F35" i="4"/>
  <c r="E36" i="4"/>
  <c r="BB4" i="4"/>
  <c r="BB39" i="4"/>
  <c r="BB16" i="4" s="1"/>
  <c r="BB3" i="4" s="1"/>
  <c r="AN18" i="7"/>
  <c r="AM19" i="7"/>
  <c r="AM14" i="7" s="1"/>
  <c r="AN26" i="4"/>
  <c r="AM27" i="4"/>
  <c r="AM24" i="4" s="1"/>
  <c r="AM25" i="4" s="1"/>
  <c r="AM29" i="4" s="1"/>
  <c r="AZ19" i="7"/>
  <c r="AZ14" i="7" s="1"/>
  <c r="BA18" i="7"/>
  <c r="AA36" i="4"/>
  <c r="AB35" i="4"/>
  <c r="Q35" i="4"/>
  <c r="P36" i="4"/>
  <c r="AX15" i="7"/>
  <c r="AW4" i="7"/>
  <c r="AW19" i="7"/>
  <c r="AW14" i="7" s="1"/>
  <c r="I19" i="4"/>
  <c r="I20" i="4" s="1"/>
  <c r="I39" i="4" s="1"/>
  <c r="I16" i="4" s="1"/>
  <c r="J18" i="4"/>
  <c r="N16" i="10"/>
  <c r="M17" i="10"/>
  <c r="P18" i="7"/>
  <c r="Q19" i="7"/>
  <c r="Q14" i="7" s="1"/>
  <c r="AL5" i="4"/>
  <c r="AL39" i="4"/>
  <c r="AL16" i="4" s="1"/>
  <c r="AL3" i="4" s="1"/>
  <c r="AX23" i="4"/>
  <c r="AD19" i="4"/>
  <c r="AD20" i="4" s="1"/>
  <c r="AD39" i="4" s="1"/>
  <c r="AD16" i="4" s="1"/>
  <c r="AE18" i="4"/>
  <c r="BC19" i="4"/>
  <c r="BC20" i="4" s="1"/>
  <c r="BD18" i="4"/>
  <c r="BD19" i="4" s="1"/>
  <c r="BD20" i="4" s="1"/>
  <c r="T19" i="4"/>
  <c r="T20" i="4" s="1"/>
  <c r="T39" i="4" s="1"/>
  <c r="T16" i="4" s="1"/>
  <c r="U18" i="4"/>
  <c r="AN39" i="9"/>
  <c r="AN40" i="9" s="1"/>
  <c r="AO34" i="9"/>
  <c r="AN41" i="9"/>
  <c r="AN43" i="9" s="1"/>
  <c r="AB19" i="7"/>
  <c r="AB14" i="7" s="1"/>
  <c r="AC18" i="7"/>
  <c r="R41" i="9"/>
  <c r="R43" i="9" s="1"/>
  <c r="S34" i="9"/>
  <c r="R39" i="9"/>
  <c r="R40" i="9" s="1"/>
  <c r="F26" i="9"/>
  <c r="AB36" i="4" l="1"/>
  <c r="AC35" i="4"/>
  <c r="AQ19" i="4"/>
  <c r="AQ20" i="4" s="1"/>
  <c r="AP19" i="4"/>
  <c r="AP20" i="4" s="1"/>
  <c r="AE19" i="4"/>
  <c r="AE20" i="4" s="1"/>
  <c r="AE39" i="4" s="1"/>
  <c r="AE16" i="4" s="1"/>
  <c r="AF18" i="4"/>
  <c r="P19" i="7"/>
  <c r="P14" i="7" s="1"/>
  <c r="O18" i="7"/>
  <c r="AL29" i="9"/>
  <c r="AK30" i="9"/>
  <c r="AK32" i="9" s="1"/>
  <c r="AK26" i="9" s="1"/>
  <c r="Q36" i="4"/>
  <c r="R35" i="4"/>
  <c r="AO41" i="9"/>
  <c r="AO43" i="9" s="1"/>
  <c r="AO39" i="9"/>
  <c r="AO40" i="9" s="1"/>
  <c r="AP34" i="9"/>
  <c r="BB18" i="7"/>
  <c r="BA19" i="7"/>
  <c r="AN35" i="4"/>
  <c r="AM36" i="4"/>
  <c r="S41" i="9"/>
  <c r="S43" i="9" s="1"/>
  <c r="T34" i="9"/>
  <c r="S39" i="9"/>
  <c r="S40" i="9" s="1"/>
  <c r="G35" i="4"/>
  <c r="F36" i="4"/>
  <c r="AB30" i="9"/>
  <c r="AB32" i="9" s="1"/>
  <c r="AB26" i="9" s="1"/>
  <c r="AC28" i="9"/>
  <c r="M16" i="10"/>
  <c r="L17" i="10"/>
  <c r="AN19" i="7"/>
  <c r="AN14" i="7" s="1"/>
  <c r="AO18" i="7"/>
  <c r="I28" i="9"/>
  <c r="H30" i="9"/>
  <c r="H32" i="9" s="1"/>
  <c r="Q30" i="9"/>
  <c r="Q32" i="9" s="1"/>
  <c r="Q26" i="9" s="1"/>
  <c r="R28" i="9"/>
  <c r="K18" i="4"/>
  <c r="J19" i="4"/>
  <c r="J20" i="4" s="1"/>
  <c r="J39" i="4" s="1"/>
  <c r="J16" i="4" s="1"/>
  <c r="U19" i="4"/>
  <c r="U20" i="4" s="1"/>
  <c r="U39" i="4" s="1"/>
  <c r="U16" i="4" s="1"/>
  <c r="V18" i="4"/>
  <c r="BD4" i="4"/>
  <c r="BD39" i="4"/>
  <c r="BD16" i="4" s="1"/>
  <c r="BD3" i="4" s="1"/>
  <c r="AM5" i="4"/>
  <c r="AM39" i="4"/>
  <c r="AM16" i="4" s="1"/>
  <c r="AM3" i="4" s="1"/>
  <c r="AC39" i="9"/>
  <c r="AC40" i="9" s="1"/>
  <c r="AD34" i="9"/>
  <c r="AC41" i="9"/>
  <c r="AC43" i="9" s="1"/>
  <c r="H39" i="9"/>
  <c r="H40" i="9" s="1"/>
  <c r="I34" i="9"/>
  <c r="H41" i="9"/>
  <c r="H43" i="9" s="1"/>
  <c r="AD18" i="7"/>
  <c r="AC19" i="7"/>
  <c r="AC14" i="7" s="1"/>
  <c r="BC4" i="4"/>
  <c r="BC39" i="4"/>
  <c r="BC16" i="4" s="1"/>
  <c r="BC3" i="4" s="1"/>
  <c r="AX4" i="7"/>
  <c r="AX19" i="7"/>
  <c r="AX14" i="7" s="1"/>
  <c r="AN27" i="4"/>
  <c r="AN24" i="4" s="1"/>
  <c r="AN25" i="4" s="1"/>
  <c r="AN29" i="4" s="1"/>
  <c r="AO26" i="4"/>
  <c r="AP18" i="7" l="1"/>
  <c r="AO19" i="7"/>
  <c r="AO14" i="7" s="1"/>
  <c r="AD19" i="7"/>
  <c r="AD14" i="7" s="1"/>
  <c r="AE18" i="7"/>
  <c r="AN5" i="4"/>
  <c r="AN39" i="4"/>
  <c r="AN16" i="4" s="1"/>
  <c r="AN3" i="4" s="1"/>
  <c r="I41" i="9"/>
  <c r="I43" i="9" s="1"/>
  <c r="I39" i="9"/>
  <c r="I40" i="9" s="1"/>
  <c r="J34" i="9"/>
  <c r="I30" i="9"/>
  <c r="I32" i="9" s="1"/>
  <c r="J28" i="9"/>
  <c r="J30" i="9" s="1"/>
  <c r="J32" i="9" s="1"/>
  <c r="H35" i="4"/>
  <c r="G36" i="4"/>
  <c r="N18" i="7"/>
  <c r="O19" i="7"/>
  <c r="O14" i="7" s="1"/>
  <c r="W19" i="4"/>
  <c r="W20" i="4" s="1"/>
  <c r="W39" i="4" s="1"/>
  <c r="W16" i="4" s="1"/>
  <c r="V19" i="4"/>
  <c r="V20" i="4" s="1"/>
  <c r="V39" i="4" s="1"/>
  <c r="V16" i="4" s="1"/>
  <c r="AG19" i="4"/>
  <c r="AG20" i="4" s="1"/>
  <c r="AG39" i="4" s="1"/>
  <c r="AG16" i="4" s="1"/>
  <c r="AG3" i="4" s="1"/>
  <c r="AF19" i="4"/>
  <c r="AF20" i="4" s="1"/>
  <c r="AF39" i="4" s="1"/>
  <c r="AF16" i="4" s="1"/>
  <c r="K17" i="10"/>
  <c r="L16" i="10"/>
  <c r="K19" i="4"/>
  <c r="K20" i="4" s="1"/>
  <c r="K39" i="4" s="1"/>
  <c r="K16" i="4" s="1"/>
  <c r="L18" i="4"/>
  <c r="S35" i="4"/>
  <c r="R36" i="4"/>
  <c r="R30" i="9"/>
  <c r="R32" i="9" s="1"/>
  <c r="R26" i="9" s="1"/>
  <c r="S28" i="9"/>
  <c r="AD28" i="9"/>
  <c r="AD30" i="9" s="1"/>
  <c r="AD32" i="9" s="1"/>
  <c r="AC30" i="9"/>
  <c r="AC32" i="9" s="1"/>
  <c r="AC26" i="9" s="1"/>
  <c r="AO35" i="4"/>
  <c r="AO36" i="4" s="1"/>
  <c r="AN36" i="4"/>
  <c r="AP41" i="9"/>
  <c r="AP43" i="9" s="1"/>
  <c r="AP39" i="9"/>
  <c r="AP40" i="9" s="1"/>
  <c r="T41" i="9"/>
  <c r="T43" i="9" s="1"/>
  <c r="T39" i="9"/>
  <c r="T40" i="9" s="1"/>
  <c r="U34" i="9"/>
  <c r="AD39" i="9"/>
  <c r="AD40" i="9" s="1"/>
  <c r="AD41" i="9"/>
  <c r="AD43" i="9" s="1"/>
  <c r="AE34" i="9"/>
  <c r="BA14" i="7"/>
  <c r="BA3" i="7" s="1"/>
  <c r="BA5" i="7"/>
  <c r="AD35" i="4"/>
  <c r="AC36" i="4"/>
  <c r="AO27" i="4"/>
  <c r="AO24" i="4" s="1"/>
  <c r="AO25" i="4" s="1"/>
  <c r="AO29" i="4" s="1"/>
  <c r="AP26" i="4"/>
  <c r="H26" i="9"/>
  <c r="BB19" i="7"/>
  <c r="BC18" i="7"/>
  <c r="AM29" i="9"/>
  <c r="AL30" i="9"/>
  <c r="AL32" i="9" s="1"/>
  <c r="AL26" i="9" s="1"/>
  <c r="AO5" i="4" l="1"/>
  <c r="AO39" i="4"/>
  <c r="AO16" i="4" s="1"/>
  <c r="AO3" i="4" s="1"/>
  <c r="BC19" i="7"/>
  <c r="BD18" i="7"/>
  <c r="BD19" i="7" s="1"/>
  <c r="S36" i="4"/>
  <c r="T35" i="4"/>
  <c r="BB5" i="7"/>
  <c r="BB14" i="7"/>
  <c r="BB3" i="7" s="1"/>
  <c r="AE39" i="9"/>
  <c r="AE40" i="9" s="1"/>
  <c r="AF34" i="9"/>
  <c r="AE41" i="9"/>
  <c r="AE43" i="9" s="1"/>
  <c r="M19" i="4"/>
  <c r="M20" i="4" s="1"/>
  <c r="M39" i="4" s="1"/>
  <c r="M16" i="4" s="1"/>
  <c r="L19" i="4"/>
  <c r="L20" i="4" s="1"/>
  <c r="L39" i="4" s="1"/>
  <c r="L16" i="4" s="1"/>
  <c r="M18" i="7"/>
  <c r="N19" i="7"/>
  <c r="N14" i="7" s="1"/>
  <c r="AP27" i="4"/>
  <c r="AP24" i="4" s="1"/>
  <c r="AP25" i="4" s="1"/>
  <c r="AP29" i="4" s="1"/>
  <c r="AQ26" i="4"/>
  <c r="U39" i="9"/>
  <c r="U40" i="9" s="1"/>
  <c r="V34" i="9"/>
  <c r="U41" i="9"/>
  <c r="U43" i="9" s="1"/>
  <c r="AD26" i="9"/>
  <c r="I35" i="4"/>
  <c r="H36" i="4"/>
  <c r="S30" i="9"/>
  <c r="S32" i="9" s="1"/>
  <c r="S26" i="9" s="1"/>
  <c r="T28" i="9"/>
  <c r="T30" i="9" s="1"/>
  <c r="T32" i="9" s="1"/>
  <c r="T26" i="9" s="1"/>
  <c r="J17" i="10"/>
  <c r="K16" i="10"/>
  <c r="AE19" i="7"/>
  <c r="AE14" i="7" s="1"/>
  <c r="AF18" i="7"/>
  <c r="AF19" i="7" s="1"/>
  <c r="AF14" i="7" s="1"/>
  <c r="J26" i="9"/>
  <c r="AE35" i="4"/>
  <c r="AD36" i="4"/>
  <c r="I26" i="9"/>
  <c r="AM30" i="9"/>
  <c r="AM32" i="9" s="1"/>
  <c r="AM26" i="9" s="1"/>
  <c r="AN29" i="9"/>
  <c r="J41" i="9"/>
  <c r="J43" i="9" s="1"/>
  <c r="J39" i="9"/>
  <c r="J40" i="9" s="1"/>
  <c r="K34" i="9"/>
  <c r="AP19" i="7"/>
  <c r="AP14" i="7" s="1"/>
  <c r="AQ18" i="7"/>
  <c r="I36" i="4" l="1"/>
  <c r="J35" i="4"/>
  <c r="BD5" i="7"/>
  <c r="BD14" i="7"/>
  <c r="BD3" i="7" s="1"/>
  <c r="AQ19" i="7"/>
  <c r="AQ14" i="7" s="1"/>
  <c r="AR18" i="7"/>
  <c r="AR19" i="7" s="1"/>
  <c r="AR14" i="7" s="1"/>
  <c r="AP5" i="4"/>
  <c r="AP39" i="4"/>
  <c r="AP16" i="4" s="1"/>
  <c r="AP3" i="4" s="1"/>
  <c r="AF35" i="4"/>
  <c r="AF36" i="4" s="1"/>
  <c r="AE36" i="4"/>
  <c r="M19" i="7"/>
  <c r="M14" i="7" s="1"/>
  <c r="L18" i="7"/>
  <c r="BC14" i="7"/>
  <c r="BC3" i="7" s="1"/>
  <c r="BC5" i="7"/>
  <c r="K41" i="9"/>
  <c r="K43" i="9" s="1"/>
  <c r="L34" i="9"/>
  <c r="K39" i="9"/>
  <c r="K40" i="9" s="1"/>
  <c r="U35" i="4"/>
  <c r="T36" i="4"/>
  <c r="AO29" i="9"/>
  <c r="AN30" i="9"/>
  <c r="AN32" i="9" s="1"/>
  <c r="AN26" i="9" s="1"/>
  <c r="V39" i="9"/>
  <c r="V40" i="9" s="1"/>
  <c r="V41" i="9"/>
  <c r="V43" i="9" s="1"/>
  <c r="I17" i="10"/>
  <c r="J16" i="10"/>
  <c r="U26" i="9"/>
  <c r="AF39" i="9"/>
  <c r="AF40" i="9" s="1"/>
  <c r="AF41" i="9"/>
  <c r="AF43" i="9" s="1"/>
  <c r="AR26" i="4"/>
  <c r="AQ27" i="4"/>
  <c r="AQ24" i="4" s="1"/>
  <c r="AQ25" i="4" s="1"/>
  <c r="AQ29" i="4" s="1"/>
  <c r="AE26" i="9"/>
  <c r="V26" i="9" l="1"/>
  <c r="AS26" i="4"/>
  <c r="AR27" i="4"/>
  <c r="AR24" i="4" s="1"/>
  <c r="AR25" i="4" s="1"/>
  <c r="AR29" i="4" s="1"/>
  <c r="AO30" i="9"/>
  <c r="AO32" i="9" s="1"/>
  <c r="AO26" i="9" s="1"/>
  <c r="AP29" i="9"/>
  <c r="AF26" i="9"/>
  <c r="H17" i="10"/>
  <c r="I16" i="10"/>
  <c r="L41" i="9"/>
  <c r="L43" i="9" s="1"/>
  <c r="L39" i="9"/>
  <c r="L40" i="9" s="1"/>
  <c r="L26" i="9" s="1"/>
  <c r="AQ5" i="4"/>
  <c r="AQ39" i="4"/>
  <c r="AQ16" i="4" s="1"/>
  <c r="AQ3" i="4" s="1"/>
  <c r="L19" i="7"/>
  <c r="L14" i="7" s="1"/>
  <c r="K18" i="7"/>
  <c r="V35" i="4"/>
  <c r="V36" i="4" s="1"/>
  <c r="U36" i="4"/>
  <c r="K35" i="4"/>
  <c r="J36" i="4"/>
  <c r="K26" i="9"/>
  <c r="AQ29" i="9" l="1"/>
  <c r="AP30" i="9"/>
  <c r="AP32" i="9" s="1"/>
  <c r="AP26" i="9" s="1"/>
  <c r="G17" i="10"/>
  <c r="H16" i="10"/>
  <c r="J18" i="7"/>
  <c r="K19" i="7"/>
  <c r="K14" i="7" s="1"/>
  <c r="AR5" i="4"/>
  <c r="AR39" i="4"/>
  <c r="AR16" i="4" s="1"/>
  <c r="AR3" i="4" s="1"/>
  <c r="AT26" i="4"/>
  <c r="AS27" i="4"/>
  <c r="AS24" i="4" s="1"/>
  <c r="AS25" i="4" s="1"/>
  <c r="AS29" i="4" s="1"/>
  <c r="K36" i="4"/>
  <c r="L35" i="4"/>
  <c r="L36" i="4" s="1"/>
  <c r="J19" i="7" l="1"/>
  <c r="J14" i="7" s="1"/>
  <c r="I18" i="7"/>
  <c r="G16" i="10"/>
  <c r="F17" i="10"/>
  <c r="AS5" i="4"/>
  <c r="AS39" i="4"/>
  <c r="AS16" i="4" s="1"/>
  <c r="AS3" i="4" s="1"/>
  <c r="AU26" i="4"/>
  <c r="AT27" i="4"/>
  <c r="AT24" i="4" s="1"/>
  <c r="AT25" i="4" s="1"/>
  <c r="AT29" i="4" s="1"/>
  <c r="AR29" i="9"/>
  <c r="AQ30" i="9"/>
  <c r="AQ32" i="9" s="1"/>
  <c r="AQ26" i="9" s="1"/>
  <c r="AT5" i="4" l="1"/>
  <c r="AT39" i="4"/>
  <c r="AT16" i="4" s="1"/>
  <c r="AT3" i="4" s="1"/>
  <c r="AV26" i="4"/>
  <c r="AU27" i="4"/>
  <c r="AU24" i="4" s="1"/>
  <c r="AU25" i="4" s="1"/>
  <c r="AU29" i="4" s="1"/>
  <c r="F16" i="10"/>
  <c r="E17" i="10"/>
  <c r="I19" i="7"/>
  <c r="I14" i="7" s="1"/>
  <c r="H18" i="7"/>
  <c r="AS29" i="9"/>
  <c r="AR30" i="9"/>
  <c r="AR32" i="9" s="1"/>
  <c r="AR26" i="9" s="1"/>
  <c r="H19" i="7" l="1"/>
  <c r="H14" i="7" s="1"/>
  <c r="G18" i="7"/>
  <c r="E16" i="10"/>
  <c r="D17" i="10"/>
  <c r="AU5" i="4"/>
  <c r="AU39" i="4"/>
  <c r="AU16" i="4" s="1"/>
  <c r="AU3" i="4" s="1"/>
  <c r="AV27" i="4"/>
  <c r="AV24" i="4" s="1"/>
  <c r="AV25" i="4" s="1"/>
  <c r="AV29" i="4" s="1"/>
  <c r="AW26" i="4"/>
  <c r="AT29" i="9"/>
  <c r="AS30" i="9"/>
  <c r="AS32" i="9" s="1"/>
  <c r="AS26" i="9" s="1"/>
  <c r="AV39" i="4" l="1"/>
  <c r="AV16" i="4" s="1"/>
  <c r="AV3" i="4" s="1"/>
  <c r="AV5" i="4"/>
  <c r="AW27" i="4"/>
  <c r="AW24" i="4" s="1"/>
  <c r="AW25" i="4" s="1"/>
  <c r="AW29" i="4" s="1"/>
  <c r="AX26" i="4"/>
  <c r="D16" i="10"/>
  <c r="C17" i="10"/>
  <c r="C16" i="10" s="1"/>
  <c r="F18" i="7"/>
  <c r="G19" i="7"/>
  <c r="G14" i="7" s="1"/>
  <c r="AT30" i="9"/>
  <c r="AT32" i="9" s="1"/>
  <c r="AT26" i="9" s="1"/>
  <c r="AU29" i="9"/>
  <c r="E18" i="7" l="1"/>
  <c r="F19" i="7"/>
  <c r="F14" i="7" s="1"/>
  <c r="AX27" i="4"/>
  <c r="AX24" i="4" s="1"/>
  <c r="AX25" i="4" s="1"/>
  <c r="AX29" i="4" s="1"/>
  <c r="AY26" i="4"/>
  <c r="AY27" i="4" s="1"/>
  <c r="AY29" i="4" s="1"/>
  <c r="AW5" i="4"/>
  <c r="AW39" i="4"/>
  <c r="AW16" i="4" s="1"/>
  <c r="AW3" i="4" s="1"/>
  <c r="AU30" i="9"/>
  <c r="AU32" i="9" s="1"/>
  <c r="AU26" i="9" s="1"/>
  <c r="AV29" i="9"/>
  <c r="AV30" i="9" s="1"/>
  <c r="AV32" i="9" s="1"/>
  <c r="AV4" i="9" l="1"/>
  <c r="AV26" i="9"/>
  <c r="AV3" i="9" s="1"/>
  <c r="AY5" i="4"/>
  <c r="AY39" i="4"/>
  <c r="AY16" i="4" s="1"/>
  <c r="AY3" i="4" s="1"/>
  <c r="AX5" i="4"/>
  <c r="AX39" i="4"/>
  <c r="AX16" i="4" s="1"/>
  <c r="AX3" i="4" s="1"/>
  <c r="E19" i="7"/>
  <c r="E14" i="7" s="1"/>
  <c r="D18" i="7"/>
  <c r="D19" i="7" l="1"/>
  <c r="D14" i="7" s="1"/>
  <c r="C18" i="7"/>
  <c r="C19" i="7" s="1"/>
  <c r="C14" i="7" s="1"/>
</calcChain>
</file>

<file path=xl/comments1.xml><?xml version="1.0" encoding="utf-8"?>
<comments xmlns="http://schemas.openxmlformats.org/spreadsheetml/2006/main">
  <authors>
    <author>Campbell, Elliott T</author>
  </authors>
  <commentList>
    <comment ref="BC37" authorId="0">
      <text>
        <r>
          <rPr>
            <b/>
            <sz val="9"/>
            <color indexed="81"/>
            <rFont val="Tahoma"/>
            <family val="2"/>
          </rPr>
          <t>Campbell, Elliott T:</t>
        </r>
        <r>
          <rPr>
            <sz val="9"/>
            <color indexed="81"/>
            <rFont val="Tahoma"/>
            <family val="2"/>
          </rPr>
          <t xml:space="preserve">
Only MSW disposed in landfills
</t>
        </r>
      </text>
    </comment>
  </commentList>
</comments>
</file>

<file path=xl/comments2.xml><?xml version="1.0" encoding="utf-8"?>
<comments xmlns="http://schemas.openxmlformats.org/spreadsheetml/2006/main">
  <authors>
    <author>Campbell, Elliott T</author>
    <author>Hans Haake</author>
  </authors>
  <commentList>
    <comment ref="BD18" authorId="0">
      <text>
        <r>
          <rPr>
            <b/>
            <sz val="9"/>
            <color indexed="81"/>
            <rFont val="Tahoma"/>
            <family val="2"/>
          </rPr>
          <t>Campbell, Elliott T:</t>
        </r>
        <r>
          <rPr>
            <sz val="9"/>
            <color indexed="81"/>
            <rFont val="Tahoma"/>
            <family val="2"/>
          </rPr>
          <t xml:space="preserve">
I was able to use ATUS data to get this number</t>
        </r>
      </text>
    </comment>
    <comment ref="AS24" authorId="1">
      <text>
        <r>
          <rPr>
            <b/>
            <sz val="9"/>
            <color indexed="81"/>
            <rFont val="Verdana"/>
            <family val="2"/>
          </rPr>
          <t>Hans Haake:</t>
        </r>
        <r>
          <rPr>
            <sz val="9"/>
            <color indexed="81"/>
            <rFont val="Verdana"/>
            <family val="2"/>
          </rPr>
          <t xml:space="preserve">
average of 2002-04 to correct for fluctuations, this number used for interpolation</t>
        </r>
      </text>
    </comment>
  </commentList>
</comments>
</file>

<file path=xl/sharedStrings.xml><?xml version="1.0" encoding="utf-8"?>
<sst xmlns="http://schemas.openxmlformats.org/spreadsheetml/2006/main" count="559" uniqueCount="401">
  <si>
    <t>Indicator 17: Value of Housework</t>
  </si>
  <si>
    <t>YEAR</t>
  </si>
  <si>
    <t>Value of Housework (Billion 2000 $)</t>
  </si>
  <si>
    <t>Hours of Household Labor per Person per Year</t>
  </si>
  <si>
    <t>Total Maryland Household Labor hours (Millions)</t>
    <phoneticPr fontId="0" type="noConversion"/>
  </si>
  <si>
    <t>Data Sources for Graphs:</t>
  </si>
  <si>
    <t>Household Labor Hours Multiplied by Housekeeping Cleaners Wage</t>
    <phoneticPr fontId="0" type="noConversion"/>
  </si>
  <si>
    <t>Based on American Time Use Survey and Others</t>
    <phoneticPr fontId="0" type="noConversion"/>
  </si>
  <si>
    <t>Row 2 Multiplied by the Population 15 And Over</t>
    <phoneticPr fontId="0" type="noConversion"/>
  </si>
  <si>
    <t xml:space="preserve"> 42.9% of Average Wage Rate</t>
    <phoneticPr fontId="0" type="noConversion"/>
  </si>
  <si>
    <t>Complete List of Data</t>
  </si>
  <si>
    <t>Value of Housework in Maryland, Billions</t>
  </si>
  <si>
    <t>Hours per week spent on Housework, MTUS 1</t>
  </si>
  <si>
    <t>Hours per week spent on child care, MTUS 1</t>
  </si>
  <si>
    <t>Hours per week spent on the above, MTUS 1</t>
  </si>
  <si>
    <t>Hours per day spent on housework and childcare, MTUS 1</t>
  </si>
  <si>
    <t>Hours per day spent on Housework, MTUS 2</t>
  </si>
  <si>
    <t>Hours per day spent on childcare, MTUS 2</t>
  </si>
  <si>
    <t>Hours per day spent on housework and childcare, MTUS 2</t>
  </si>
  <si>
    <t>Hours per day spent on household activities, ATUS</t>
  </si>
  <si>
    <t>Hours per day spent on caring for and helping family members, ATUS</t>
  </si>
  <si>
    <t>Hours per day spent on household activities and family care, ATUS</t>
  </si>
  <si>
    <t>Trend changes in hours of Household Labor</t>
  </si>
  <si>
    <t>Hours of Household labor per day, interpolated</t>
  </si>
  <si>
    <t>Hours of Household labor per day, combined</t>
  </si>
  <si>
    <t>Hours of Household labor per person per year</t>
  </si>
  <si>
    <t>Maryland Population, thousands</t>
  </si>
  <si>
    <t>Maryland Population 15 and over, thousands</t>
  </si>
  <si>
    <t>Total Maryland Household Labor hours, millions</t>
  </si>
  <si>
    <t>Maryland average wage rate</t>
  </si>
  <si>
    <t>Maryland Housekeeping cleaners wage</t>
  </si>
  <si>
    <t>Data Sources for 'Complete List of Data':</t>
  </si>
  <si>
    <t>Calculated, Row 20 Multiplied by Row 18</t>
    <phoneticPr fontId="0" type="noConversion"/>
  </si>
  <si>
    <t>2 to 5</t>
    <phoneticPr fontId="0" type="noConversion"/>
  </si>
  <si>
    <t>http://www.popcenter.umd.edu/sdaweb/glaser/Doc/GLAS.htm</t>
  </si>
  <si>
    <t>6 to 9</t>
    <phoneticPr fontId="0" type="noConversion"/>
  </si>
  <si>
    <t>http://www.popcenter.umd.edu/cgi-bin/hsda?harcsda+diary9801</t>
  </si>
  <si>
    <t>9 to 10</t>
    <phoneticPr fontId="0" type="noConversion"/>
  </si>
  <si>
    <t>http://www.bls.gov/tus/tables.htm</t>
  </si>
  <si>
    <t>Calculated, Sum of 9 and 10</t>
    <phoneticPr fontId="0" type="noConversion"/>
  </si>
  <si>
    <t>Calculated based on MTUS data</t>
    <phoneticPr fontId="0" type="noConversion"/>
  </si>
  <si>
    <t>Based on Trends Above Applied to 2003 Data Backwards</t>
    <phoneticPr fontId="0" type="noConversion"/>
  </si>
  <si>
    <t>Rows 13 and 11</t>
    <phoneticPr fontId="0" type="noConversion"/>
  </si>
  <si>
    <t>Calculated, Days Per Year</t>
    <phoneticPr fontId="0" type="noConversion"/>
  </si>
  <si>
    <t>Taken From Population Spreadsheet</t>
    <phoneticPr fontId="0" type="noConversion"/>
  </si>
  <si>
    <t>Calculated, Explained Below</t>
    <phoneticPr fontId="0" type="noConversion"/>
  </si>
  <si>
    <t>Calculated, Row 17 Multiplied by Row 15</t>
    <phoneticPr fontId="0" type="noConversion"/>
  </si>
  <si>
    <t>From Underemployment Spreadsheet</t>
    <phoneticPr fontId="0" type="noConversion"/>
  </si>
  <si>
    <t>Calculated, 42.9% of Average Wage Rate</t>
    <phoneticPr fontId="0" type="noConversion"/>
  </si>
  <si>
    <t>Formula for monetary value:</t>
    <phoneticPr fontId="0" type="noConversion"/>
  </si>
  <si>
    <t>(Yearly Hours Spent by Marylanders on Housework) Multiplied by (Wage Rate for Housekeeping Workers)</t>
  </si>
  <si>
    <t>Methodological Notes:</t>
    <phoneticPr fontId="0" type="noConversion"/>
  </si>
  <si>
    <r>
      <t>Housework Data</t>
    </r>
    <r>
      <rPr>
        <sz val="12"/>
        <rFont val="Verdana"/>
        <family val="2"/>
      </rPr>
      <t xml:space="preserve"> 
Previous studies did not always use the potential of the American Time Use Survey (ATUS) due to incompatibility with previous methodologies for estimating time spent on housework (including parenting).  As time passes, the ATUS becomes more valuable and needs to become the focus of this GPI indicator.  Accordingly, a detailed calculation with state-specific numbers is unlikely at this point.  
To calculate, there is a multitude of surveys around, but many are challenging to access for the purpose of this study and methodologies are difficult to compare.  Several of these studies can be found at http://www.webuse.umd.edu/.  Maryland selected two sets of time use surveys by the Department of Sociology at the University of Maryland (MTUS) that provided weekly hours for housework and child care in the years 1965, 1975, and 1984 to estimate trends in housework and parenting and applied these trends to the more current numbers from the ATUS.  More accurately, we applied the trend between the 1998 and 2001 data between 1990 and 2004, the trend between 1975 and 1984, from 1975 to 1990, and the trend from 1965 to 1975 from 1960 to 1975.  Since capturing trends in percentages would have created unrealistically high numbers, we simply chose to apply the yearly "lost hours" from the trend reference.
Since the ATUS only provides data for persons 15 and over, a ratio of those to overall population was taken from Census Data (http://www.census.gov/popest/states/asrh/SC-EST2008-01.html).  The Census does not directly provide this data, but using the number of 4,455,297 for population 16 and over, one fourth of the population 14-17 (79,218), divided by overall population of 5,633,597, yields a value of 80%. 
</t>
    </r>
    <r>
      <rPr>
        <b/>
        <i/>
        <sz val="12"/>
        <rFont val="Verdana"/>
        <family val="2"/>
      </rPr>
      <t>Housework Value</t>
    </r>
    <r>
      <rPr>
        <sz val="12"/>
        <rFont val="Verdana"/>
        <family val="2"/>
      </rPr>
      <t xml:space="preserve">
For the monetary valuation of results, ideally a Maryland wage rate for housekeeping professionals should be used, since this is the group that would alternatively have to be paid to replace household labor.  Since such a wage rate was not available for most of the years, we calculated the ratio of this wage group to the average wage, and applied this ratio to available Maryland average wage data.  Maryland maids and housekeeping cleaners had an average wage rate of $9.93 in 2008, or $7.94 in 2000 dollars, so about 42.9% of the average wage rate.
</t>
    </r>
  </si>
  <si>
    <t>Accompanying files:</t>
    <phoneticPr fontId="0" type="noConversion"/>
  </si>
  <si>
    <t xml:space="preserve">e.g.
</t>
    <phoneticPr fontId="0" type="noConversion"/>
  </si>
  <si>
    <t>Accompanying Text:</t>
    <phoneticPr fontId="0" type="noConversion"/>
  </si>
  <si>
    <t>Indicator 18:  Cost of Family Changes</t>
    <phoneticPr fontId="0" type="noConversion"/>
  </si>
  <si>
    <t>YEAR</t>
    <phoneticPr fontId="0" type="noConversion"/>
  </si>
  <si>
    <t>Cost of Family Changes (Billion 2000 $)</t>
  </si>
  <si>
    <t>Number of Divorces Per Year, Maryland (Total)</t>
  </si>
  <si>
    <t>Average Number of Children per Divorce, US</t>
    <phoneticPr fontId="0" type="noConversion"/>
  </si>
  <si>
    <t>Estimated Number of Children Affected by Divorce per Year</t>
    <phoneticPr fontId="0" type="noConversion"/>
  </si>
  <si>
    <t>Total Costs of Divorce in Maryland (2000 $)</t>
    <phoneticPr fontId="0" type="noConversion"/>
  </si>
  <si>
    <t>Time Spent Watching Television Per Year Per Household</t>
    <phoneticPr fontId="0" type="noConversion"/>
  </si>
  <si>
    <t>Number of Households with Children, Maryland (Total)</t>
  </si>
  <si>
    <t>Total Number of Hours of Television Watching in Maryland per Year</t>
  </si>
  <si>
    <t>Total Social cost of Television Viewing (2000 $)</t>
    <phoneticPr fontId="0" type="noConversion"/>
  </si>
  <si>
    <t>Costs of Divorces and Television Viewing</t>
    <phoneticPr fontId="0" type="noConversion"/>
  </si>
  <si>
    <t>Based on Census Burea and National Center for Health Statistics</t>
    <phoneticPr fontId="0" type="noConversion"/>
  </si>
  <si>
    <t>U.S. National Center for Health Statistics Report on Children of Divorce</t>
    <phoneticPr fontId="0" type="noConversion"/>
  </si>
  <si>
    <t>Number of Divorces Multiplied by Number of Children per Divorce</t>
    <phoneticPr fontId="0" type="noConversion"/>
  </si>
  <si>
    <t>Based on Previous GPI Studies, Costs of Divorces to Adults and Children</t>
    <phoneticPr fontId="0" type="noConversion"/>
  </si>
  <si>
    <t>Based on Television Bureau of Advertising and Nielsen Media Research</t>
    <phoneticPr fontId="0" type="noConversion"/>
  </si>
  <si>
    <t>Based on US Census Bureau Data</t>
    <phoneticPr fontId="0" type="noConversion"/>
  </si>
  <si>
    <t>Row 6 Multiplied with Row 7</t>
    <phoneticPr fontId="0" type="noConversion"/>
  </si>
  <si>
    <t>Hours of Television Viewing Multiplied by 0.54 $ Based on Previous GPI Studies</t>
    <phoneticPr fontId="0" type="noConversion"/>
  </si>
  <si>
    <t>Total Costs of Family Changes (in billions of dollars)</t>
    <phoneticPr fontId="0" type="noConversion"/>
  </si>
  <si>
    <t>Number of divorces per year, Maryland (Census Bureau;National Center for Health Statistics)</t>
    <phoneticPr fontId="0" type="noConversion"/>
  </si>
  <si>
    <t>Number of divorces per year, Maryland (interpolated)</t>
  </si>
  <si>
    <t>Number of divorces per year, Maryland (total)</t>
  </si>
  <si>
    <t>Rate of Divorce in Maryland per 1000 people (Census Bureau;National Center for Health Statistics)</t>
  </si>
  <si>
    <t>Rate of Divorce in Maryland per 1000 people (interpolated)</t>
  </si>
  <si>
    <t>Rate of Divorce in Maryland per 1000 people (total)</t>
  </si>
  <si>
    <t>Average number of children per divorce, US</t>
  </si>
  <si>
    <t>Estimated number of children affected by divorce per year in Maryland</t>
  </si>
  <si>
    <t>Valuation of effects of divorce on child</t>
  </si>
  <si>
    <t>Total value of effects of divorce on Maryland children</t>
  </si>
  <si>
    <t>Direct costs to adults per divorce in Maryland</t>
  </si>
  <si>
    <t>Total direct costs to divorced adults in Maryland</t>
  </si>
  <si>
    <t>Total Costs of Divorce in Maryland</t>
  </si>
  <si>
    <t>Time spent watching television per day per household (Nielsen Media Research)</t>
  </si>
  <si>
    <t>Time spent watching television per day per household (extrapolated and interpolated)</t>
  </si>
  <si>
    <t>Time spent watching television per day per household (total)</t>
  </si>
  <si>
    <t>Time spent watching television per year per household</t>
  </si>
  <si>
    <t>Maryland Population</t>
  </si>
  <si>
    <t>Number of households with children, Maryland (U.S. Census Bureau)</t>
  </si>
  <si>
    <t>Number of households with children, Maryland (extrapolated and interpolated)</t>
  </si>
  <si>
    <t>Number of households with children, Maryland (total)</t>
  </si>
  <si>
    <t>Total number of hours of television watching in Maryland per year</t>
  </si>
  <si>
    <t>Social cost of television viewing per hour</t>
  </si>
  <si>
    <t>Total cost of television viewing</t>
  </si>
  <si>
    <t>Total Costs of Family Breakdown (in dollars)</t>
  </si>
  <si>
    <t>Total Costs of Family Breakdown (in billions of dollars)</t>
  </si>
  <si>
    <t>633,449</t>
  </si>
  <si>
    <t>Same as 27</t>
    <phoneticPr fontId="0" type="noConversion"/>
  </si>
  <si>
    <t>U.S. Census Statistical Abstracts and U.S. National Center for Health Statistics, http://www.census.gov/compendia/statab/past_years.html</t>
  </si>
  <si>
    <t>Interpolated</t>
    <phoneticPr fontId="0" type="noConversion"/>
  </si>
  <si>
    <t>Calculated</t>
    <phoneticPr fontId="0" type="noConversion"/>
  </si>
  <si>
    <t>SEAN: Updated 2000-2011 with following website</t>
  </si>
  <si>
    <t>U.S. National Center for Health Statistics Report on Children of Divorce, http://www.cdc.gov/nchs/data/series/sr_21/sr21_046.pdf,  For 1985-2008, used value from original GPI Study (also used in Burlington GPI study)</t>
  </si>
  <si>
    <t>8 &amp; 9:</t>
  </si>
  <si>
    <t>Website:  http://www.dhmh.maryland.gov/vsa/SitePages/reports.aspx</t>
  </si>
  <si>
    <t>Original GPI study; Also Used in Burlington GPI study</t>
    <phoneticPr fontId="0" type="noConversion"/>
  </si>
  <si>
    <t>SEAN: Need to do same with kids watching tv!!!</t>
  </si>
  <si>
    <t>Calculated</t>
  </si>
  <si>
    <t>Nielsen Media Research (for 2000) as used in Burlington GPI Study and Television Bureau of Advertising data (for 1965, 1970, 1975, 1980, 1985, 1990, 1995, 1996 and 1997) as used in 1998 GPI Study</t>
  </si>
  <si>
    <t>Extrapolated and Interpolated</t>
    <phoneticPr fontId="0" type="noConversion"/>
  </si>
  <si>
    <t>Calculated, ATUS 2.77 hours per person, 2.61 people per household from census data</t>
  </si>
  <si>
    <t>From Population Spreadsheet</t>
    <phoneticPr fontId="0" type="noConversion"/>
  </si>
  <si>
    <t>U.S. Census "Average Number of Children per Family and per Family with Children" by state (1990, 2000)</t>
    <phoneticPr fontId="0" type="noConversion"/>
  </si>
  <si>
    <t>Extrapolated and Interpolated from US Census data points</t>
  </si>
  <si>
    <t>From 1998 GPI study</t>
    <phoneticPr fontId="0" type="noConversion"/>
  </si>
  <si>
    <t>(Costs of Divorce) Added to (Cost of Television Viewing) 
Costs of Divorce = [(Number of Children Affected by Divorces) Multiplied by $13,380] Added to [(Number of Divorces) Multiplied by $8,999]
Cost of Television Viewing = (Hours Spent Watching Television in Households with Children) Multiplied by $0.54</t>
  </si>
  <si>
    <r>
      <t>Family Data</t>
    </r>
    <r>
      <rPr>
        <b/>
        <sz val="12"/>
        <rFont val="Verdana"/>
        <family val="2"/>
      </rPr>
      <t xml:space="preserve"> </t>
    </r>
    <r>
      <rPr>
        <sz val="12"/>
        <rFont val="Verdana"/>
        <family val="2"/>
      </rPr>
      <t xml:space="preserve">
The yearly-published US Census Statistical Abstracts did not contain data for total divorces or divorce rate in Maryland for 1999, 2002, 2003, 2006, 2007, and 2008.  Numbers for those years were taken from the US Center for Disease Control's National Center for Health Statistics (NCHS) reports.  The average number of children affected per divorce comes from the National Center for Health Statistics report, "Children in Divorce," which included average number of children affected per divorce up until 1984.  To account for years 1985-2008, a value of .89 was pulled from the original GPI report (which those authors had taken from a 1988 NCHS report). All monetary values are measured in 2000 dollars.
U.S. household television viewing data was gathered from two sources: a value of 7 hours and 35 minutes per day for 2000 was adopted from the Vermont GPI study, which drew this number for Nielsen Media Research data; and values were drawn for 1965, 1970, 1975, 1980, 1985, 1990, 1995, 1996, and 1997 from the 1998 GPI study, which in turn gathered the data from the Television Bureau of Advertising.  For years between these, data was interpolated. Though this value is not specific to Maryland's television viewing, no better data can be found at the moment.  This number was multiplied by 365 to come to an estimated total yearly amount of television viewing per household in Maryland.  
Total number of households with children (1980, 1970) was derived from a number of Census Bureau data.  Number of family households was interpolated for the in between years. For total number of family households in the US, Census Bureau data was used.  
</t>
    </r>
    <r>
      <rPr>
        <b/>
        <i/>
        <sz val="12"/>
        <rFont val="Verdana"/>
        <family val="2"/>
      </rPr>
      <t>Family Value</t>
    </r>
    <r>
      <rPr>
        <sz val="12"/>
        <rFont val="Verdana"/>
        <family val="2"/>
      </rPr>
      <t xml:space="preserve">
The valuation data of the effects of divorce on children and the direct costs of divorce for adults comes from the original GPI study.
</t>
    </r>
  </si>
  <si>
    <t xml:space="preserve">http://www2.census.gov/prod2/decennial/documents/1980a_mdD-01.pdf 
http://www2.census.gov/prod2/decennial/documents/1970a_md-01.pdf
http://www.census.gov/compendia/statab/2008/tables/08s0058.pdf 
http://www.census.gov/population/www/socdemo/hh-fam/cps2008.html
</t>
  </si>
  <si>
    <t>Indicator 19: Cost of Crime</t>
  </si>
  <si>
    <t>Cost of Crime (Billion 2000 $)</t>
  </si>
  <si>
    <t>Number of Murders in Maryland</t>
  </si>
  <si>
    <t>Number of Rapes in Maryland</t>
  </si>
  <si>
    <t>Number of Robberies in Maryland</t>
  </si>
  <si>
    <t>Number of Aggravated Assaults in Maryland</t>
  </si>
  <si>
    <t>Number of Break-And-Enters in Maryland</t>
  </si>
  <si>
    <t>Number of Larceny Thefts in Maryland</t>
  </si>
  <si>
    <t>Number of Motor Vehicle Thefts in Maryland</t>
  </si>
  <si>
    <t>Sum of the Costs of each Crime</t>
    <phoneticPr fontId="0" type="noConversion"/>
  </si>
  <si>
    <t>GOCCP and disastercenter.com</t>
  </si>
  <si>
    <t>http://www.goccp.maryland.gov/msac/crime-statistics.php</t>
  </si>
  <si>
    <t>GOCCP and disastercenter.com</t>
    <phoneticPr fontId="0" type="noConversion"/>
  </si>
  <si>
    <t>Calculated Based on National Institute of Justice</t>
    <phoneticPr fontId="0" type="noConversion"/>
  </si>
  <si>
    <t>Cost of Crime (Billion, 2000$)</t>
    <phoneticPr fontId="0" type="noConversion"/>
  </si>
  <si>
    <t>Number of Murders in Maryland</t>
    <phoneticPr fontId="0" type="noConversion"/>
  </si>
  <si>
    <t>Number of Rapes in Maryland</t>
    <phoneticPr fontId="0" type="noConversion"/>
  </si>
  <si>
    <t>Number of Robberies in Maryland</t>
    <phoneticPr fontId="0" type="noConversion"/>
  </si>
  <si>
    <t>Number of Aggravated Assaults in Maryland</t>
    <phoneticPr fontId="0" type="noConversion"/>
  </si>
  <si>
    <t>Number of Break-And-Enters in Maryland</t>
    <phoneticPr fontId="0" type="noConversion"/>
  </si>
  <si>
    <t>Number of Larceny Thefts in Maryland</t>
    <phoneticPr fontId="0" type="noConversion"/>
  </si>
  <si>
    <t>Number of Motor Vehicle Thefts in Maryland</t>
    <phoneticPr fontId="0" type="noConversion"/>
  </si>
  <si>
    <t>Cost of Murders</t>
    <phoneticPr fontId="0" type="noConversion"/>
  </si>
  <si>
    <t>Cost of Rapes</t>
    <phoneticPr fontId="0" type="noConversion"/>
  </si>
  <si>
    <t>Cost of Robberies</t>
    <phoneticPr fontId="0" type="noConversion"/>
  </si>
  <si>
    <t>Cost of Aggravated Assaults</t>
    <phoneticPr fontId="0" type="noConversion"/>
  </si>
  <si>
    <t>Cost of Break-And-Enters</t>
    <phoneticPr fontId="0" type="noConversion"/>
  </si>
  <si>
    <t>Cost of Larceny Thefts</t>
    <phoneticPr fontId="0" type="noConversion"/>
  </si>
  <si>
    <t>Cost of Motor Vehicle Thefts</t>
    <phoneticPr fontId="0" type="noConversion"/>
  </si>
  <si>
    <t>Total Victims Costs</t>
    <phoneticPr fontId="0" type="noConversion"/>
  </si>
  <si>
    <r>
      <t xml:space="preserve">GOCCP and </t>
    </r>
    <r>
      <rPr>
        <sz val="11"/>
        <rFont val="Verdana"/>
        <family val="2"/>
      </rPr>
      <t>http://www.disastercenter.com/crime/mdcrime.htm</t>
    </r>
  </si>
  <si>
    <t>Sum of Costs per Crime</t>
    <phoneticPr fontId="0" type="noConversion"/>
  </si>
  <si>
    <t>Formula for monetary value:</t>
  </si>
  <si>
    <t>(Number of each Crime) Multiplied by (Victim Cost Estimate for each Crime)</t>
  </si>
  <si>
    <t>Methodological Notes:</t>
  </si>
  <si>
    <t xml:space="preserve">For calculating the cost of crime, an updated methodology was developed that is fundamentally different from that of other GPI studies.  Previous studies only captured the direct out-of-pocket expenses from crime victims replacing damaged and stolen property and defensive spending to guard against crime, like alarms, locks, and related equipment.  All previous studies acknowledged that this methodology neglected the much higher damages inflicted on the well-being of crime victims through trauma, fear, and physical damages.  To account for this, we used calculations from the Department of Justice on such costs.
Crime numbers were taken from the Governor's Office of Crime Control &amp; Prevention statistics, combined with data from disastercenter.com for earlier years.  Both were checked for consistency with annual crime reports.  Each crime was then multiplied with the associated costs, both quality of life effects and property losses, from research by the National Institute of Justice at the U.S. Department of Justice into Victim Costs and Consequences. 
Spending on locks, alarms, and security services was not included due to the limited availability of data and a negligible impact on total numbers. Overall, this approach provided a still conservative estimate that captures the real effects of crime better than most previous GPI studies.
</t>
  </si>
  <si>
    <t>Accompanying files:</t>
  </si>
  <si>
    <t>Accompanying Text:</t>
  </si>
  <si>
    <t>Indicator 20: Cost of Personal Pollution Abatement</t>
  </si>
  <si>
    <t>Cost of Personal Pollution Abatement (Billion 2000 $)</t>
  </si>
  <si>
    <t>Costs of Air Pollution Abatement (1,000s of 2000 $)</t>
  </si>
  <si>
    <t>Costs of Water Pollution Abatement (2000 $)</t>
  </si>
  <si>
    <t>Cost of Waste Disposal (2000 $)</t>
  </si>
  <si>
    <t>Expenses on Air Filters, Catalytic Converters, Waste Water Treatment and Solid Waste Disposal</t>
    <phoneticPr fontId="0" type="noConversion"/>
  </si>
  <si>
    <t>Based on the Number of New Motor Vehicles with Air Filters and Catalytic Coverters Purchased</t>
    <phoneticPr fontId="0" type="noConversion"/>
  </si>
  <si>
    <t>Based on the Number of Households Served by Sewer or Having a Septic System</t>
    <phoneticPr fontId="0" type="noConversion"/>
  </si>
  <si>
    <t>Based on the Amount of Solid Waste Disposed</t>
    <phoneticPr fontId="0" type="noConversion"/>
  </si>
  <si>
    <t>Cost of Personal Pollution Abatement (Billion, 2000$)</t>
  </si>
  <si>
    <t>Number of Registered Vehicles in Maryland (Thousands)</t>
  </si>
  <si>
    <t>Number of Registered Vehicles in Maryland, Interpolated (Thousands)</t>
  </si>
  <si>
    <t>New Vehicles</t>
  </si>
  <si>
    <t>Costs of Air Pollution Abatement  (Thousands)</t>
  </si>
  <si>
    <t>Household Units Served by Sewer</t>
  </si>
  <si>
    <t>Household Units with Septic Systems</t>
  </si>
  <si>
    <t>Total Housing Units</t>
  </si>
  <si>
    <t>Household Units Served by Sewer, Calculated</t>
  </si>
  <si>
    <t>Household Units Served by Sewer, Combined</t>
  </si>
  <si>
    <t>Household Units with Septic Systems, Calculated</t>
  </si>
  <si>
    <t>Household Units with Septic Systems, Combined</t>
  </si>
  <si>
    <t>New Septic Systems</t>
  </si>
  <si>
    <t>Waste Disposed / Received for Disposal (MSW) (Tons)</t>
  </si>
  <si>
    <t>National Waste Disposed (Millions of Tons)</t>
  </si>
  <si>
    <t>National Population (Thousands)</t>
  </si>
  <si>
    <t>Maryland Population (Thousands)</t>
  </si>
  <si>
    <t>Waste Disposed per Capita, US</t>
  </si>
  <si>
    <t>Waste Disposed per Capita, MD, Calculated</t>
  </si>
  <si>
    <t>Waste Disposed in Maryland, Calculated</t>
  </si>
  <si>
    <t>Waste Disposed in Maryland, Combined</t>
  </si>
  <si>
    <t>Cost of Personal Pollution Abatement (2000 $)</t>
  </si>
  <si>
    <t>Row 24 Converted to Billions</t>
    <phoneticPr fontId="0" type="noConversion"/>
  </si>
  <si>
    <t>Sean: Need to figure out Trash.  2009 equation is:</t>
  </si>
  <si>
    <t>Statistical Abstracts</t>
    <phoneticPr fontId="0" type="noConversion"/>
  </si>
  <si>
    <t>(trash per person per day) x 365 x US pop</t>
  </si>
  <si>
    <t>From US Census, taken from statistical abstracts, http://www.census.gov/hhes/www/housing/census/historic/sewage.html, other census pages</t>
    <phoneticPr fontId="0" type="noConversion"/>
  </si>
  <si>
    <t>From US Census, taken from statistical abstracts, http://www.census.gov/hhes/www/housing/census/historic/sewage.html, other census pages</t>
  </si>
  <si>
    <t>Calculated from 8 for 1960, Interpolated /Extrapolated Elsewhere</t>
    <phoneticPr fontId="0" type="noConversion"/>
  </si>
  <si>
    <t>Combined From Above</t>
    <phoneticPr fontId="0" type="noConversion"/>
  </si>
  <si>
    <t>From MDE data</t>
    <phoneticPr fontId="0" type="noConversion"/>
  </si>
  <si>
    <t>http://www.epa.gov/wastes/nonhaz/municipal/pubs/msw2009-fs.pdf</t>
  </si>
  <si>
    <t>From Population Sheet</t>
    <phoneticPr fontId="0" type="noConversion"/>
  </si>
  <si>
    <t>From Above</t>
    <phoneticPr fontId="0" type="noConversion"/>
  </si>
  <si>
    <t>Calculated, Sum of the Three Factors</t>
    <phoneticPr fontId="0" type="noConversion"/>
  </si>
  <si>
    <t>(Spending on Catalytic Converters and Auto Air Filters) Added to (Costs of Septic and Sewer Systems) Added to (Costs of Solid Waste Disposal)</t>
  </si>
  <si>
    <t xml:space="preserve">Maryland calculated the number of new vehicles based on the number of vehicles in Maryland as registration data was not easily available for the full length of time.  The Department of Transportation assumes an average lifespan of a car of 13 years, meaning that on average 7.69 percent of cars will be retired.  So, new cars are the change in the stock plus this number.  The number of new vehicles is then multiplied by the costs for air filters and catalytic converters, a conservative estimate since there are more technologies and engine refinements targeted at emission control.  Following Bagstad and Ceroni, we value catalytic converters at 100 dollars and air filters at 8.50.  However the catalytic converters are only added from 1977, phased in over 5 years, since they were previously not widely used.
Values of houses with septic or sewer were only available for 1970, 1980 and 1990.  Values were interpolated in between, and for previous and following years the ratio of houses with sewer/septic to overall housing units was used.  For septic systems, the values established in the Vermont GPI study were adopted, as regional differences should be minimal.  The possibility of systems being retired was neglected since data would have been practically impossible to acquire.  Counting only the absolute increase in septic systems as new systems yields a slightly conservative estimate.  We saw no benefit in the methodology of the Vermont study for estimating cleaning costs, but simply assumed that one fifth of the stock is being cleaned each year, based on a cleaning interval of five years.  Costs for new systems were assumed to be $4,000 and cleaning costs $200.
For the sewer costs, the assumption of 250 gallons of sewer flow per day and household was adopted, which is generally used by Maryland agencies. This means 91250 gallons per household per year. Sewer rates in Maryland greatly vary, from 2.46 dollars per 1000 gallons in Salisbury to over $12 outside of Hancock. For a consvervative estimate, a rate of $4 per 1000 gallons was adopted.
Solid waste data was only available from 1999 to 2006. For earlier years, the national trend in per capita waste was applied to the 1999 Maryland number. For 2007 and 2008, the 2006 number was held constant. As a cost of waste disposal a value of 100 dollars per ton was used, following previous GPI studies. It represents the cost to households of waste disposal, as calculated for the EPA.
</t>
  </si>
  <si>
    <t>Indicator 21: Value of Volunteer Work</t>
  </si>
  <si>
    <t xml:space="preserve"> YEAR</t>
    <phoneticPr fontId="0" type="noConversion"/>
  </si>
  <si>
    <t>Value of Volunteer Work (Billion 2000 $)</t>
  </si>
  <si>
    <t>Maryland Total Volunteer Hours (million hours)</t>
  </si>
  <si>
    <t>Volunteer Hours Multiplied by the Value of a Volunteer Hour</t>
    <phoneticPr fontId="0" type="noConversion"/>
  </si>
  <si>
    <t>www.volunteeringinamerica.gov</t>
    <phoneticPr fontId="0" type="noConversion"/>
  </si>
  <si>
    <t>Based on volunteeringinamerica.gov, Interpolated for Earlier Years</t>
    <phoneticPr fontId="0" type="noConversion"/>
  </si>
  <si>
    <t>Independent Sector, as Used in Previous GPI Studies</t>
    <phoneticPr fontId="0" type="noConversion"/>
  </si>
  <si>
    <t>Value of Volunteer Work (Billion, 2000 $)</t>
    <phoneticPr fontId="0" type="noConversion"/>
  </si>
  <si>
    <t>Volunteer Numbers for Maryland (Millions)</t>
    <phoneticPr fontId="0" type="noConversion"/>
  </si>
  <si>
    <t>Vounteer Rate Maryland (Percent)</t>
    <phoneticPr fontId="0" type="noConversion"/>
  </si>
  <si>
    <t>MD Total Volunteer Hours, Millions</t>
    <phoneticPr fontId="0" type="noConversion"/>
  </si>
  <si>
    <t>MD Volunteer Hours per Resident per Year</t>
    <phoneticPr fontId="0" type="noConversion"/>
  </si>
  <si>
    <t>Volunteer Numbers US (Millions)</t>
  </si>
  <si>
    <t>Volunteer Rate US (Percent)</t>
    <phoneticPr fontId="0" type="noConversion"/>
  </si>
  <si>
    <t>US Total Volunteer Hours (Billions)</t>
    <phoneticPr fontId="0" type="noConversion"/>
  </si>
  <si>
    <t>Volunteer Hours per Resident per Year, US</t>
    <phoneticPr fontId="0" type="noConversion"/>
  </si>
  <si>
    <t>Maryland Total Volunteeer Hours, Calculated</t>
    <phoneticPr fontId="0" type="noConversion"/>
  </si>
  <si>
    <t>Maryland Total Volunteer Hours, Interpolated</t>
    <phoneticPr fontId="0" type="noConversion"/>
  </si>
  <si>
    <t>Maryland Population, Percentage of Following Year</t>
    <phoneticPr fontId="0" type="noConversion"/>
  </si>
  <si>
    <t>Maryland Total Volunteer Hours, Combined</t>
    <phoneticPr fontId="0" type="noConversion"/>
  </si>
  <si>
    <t>Dollar Value of a Volunteer Hour in MD (2000 dollars)</t>
    <phoneticPr fontId="0" type="noConversion"/>
  </si>
  <si>
    <t>Value of Volunteer Work in Maryland (Million 2000 $)</t>
    <phoneticPr fontId="0" type="noConversion"/>
  </si>
  <si>
    <t>Row 15 Converted to Billions</t>
    <phoneticPr fontId="0" type="noConversion"/>
  </si>
  <si>
    <t>2 to 9</t>
  </si>
  <si>
    <t>www.volunteeringinamerica.gov, based on Current Population Survey (CPS)</t>
    <phoneticPr fontId="0" type="noConversion"/>
  </si>
  <si>
    <t>http://www.volunteeringinamerica.gov/</t>
  </si>
  <si>
    <t>No updated data for 2012, so used 2011:</t>
  </si>
  <si>
    <t>Calculated, Average from Several Years</t>
    <phoneticPr fontId="0" type="noConversion"/>
  </si>
  <si>
    <t>population under 15</t>
  </si>
  <si>
    <t>MD populatio under 18</t>
  </si>
  <si>
    <t>assume pop under 18 does not volunteer</t>
  </si>
  <si>
    <t>From Rows Above</t>
    <phoneticPr fontId="0" type="noConversion"/>
  </si>
  <si>
    <t>Independent Sector, http://www.independentsector.org/programs/research/volunteer_time.html#value</t>
  </si>
  <si>
    <t>Product of the Rows Above</t>
    <phoneticPr fontId="0" type="noConversion"/>
  </si>
  <si>
    <t>(Total Volunteer Hours per Year) Multiplied by (Value per Volunteer Hour)</t>
  </si>
  <si>
    <r>
      <t>Volunteerism Data</t>
    </r>
    <r>
      <rPr>
        <sz val="11"/>
        <rFont val="Verdana"/>
        <family val="2"/>
      </rPr>
      <t xml:space="preserve"> 
The Current Population Survey (CPS), a joint effort by the Bureau of Labor Statistics (BLS) and the Census Bureau, included supplements on volunteering in 1974, 1989, and recent years.  Data from 1974 was not available for Maryland.  US residents in recent years spent 34.7 hours volunteering, while MD residents spent 44.1 hours.  Maryland overall volunteer hours were 216.6 in 2008.  US volunteer spend a median of 52 hours on volunteer activities.
Using the data from 2002 to 2008 for Maryland, an average number of ca. 150 hours per volunteer is found.  This is applied to the volunteer number for 1989.  For 1974, the national rate is applied since it was very similar in 1989.  The volunteering numbers are calculated based on the population over 16.  The statistical abstract from 1974 shows Maryland population over 18 as 2.485 million, plus half of the group between 14 and 17, 329,000.  This leads to an estimate of 2.65 million over the age of 16.  If 23.6 percent of these volunteer at 150 hours, there is a total of 93.8 million volunteer hours.  
Numbers before 1974 were difficult to estimate.  We considered using the development as shown in the national GPI study.  This would, however, be rather inaccurate as there is no good evidence to suggest a shift in the volunteer rate.  To not influence the movement of the indicator more than needed, we interpolated based only on population growth.  Lastly, Neighborhood Engagement is not included, as we focused on organized activities.
</t>
    </r>
    <r>
      <rPr>
        <b/>
        <i/>
        <sz val="11"/>
        <rFont val="Verdana"/>
        <family val="2"/>
      </rPr>
      <t>Volunteerism Value</t>
    </r>
    <r>
      <rPr>
        <sz val="11"/>
        <rFont val="Verdana"/>
        <family val="2"/>
      </rPr>
      <t xml:space="preserve">
Monetary value is calculated by applying a wage rate to the volunteer hours per year. This figure, though, has varied in different studies: it can be an average wage rate, household wage rate, or a specific wage rate as is used here based on the Independent Sector 2006 Report.  Independent Sector calculates volunteer wage rates from 1980, however these are primarily inflation adjusted.  Since the Maryland volunteer wage rate in 2007 is $21.20 (the national wage rate is $19.51), we increased the 2000 number from $15.68 (national) to $17.04 (Maryland) since calculations are done in 2000 dollars.
</t>
    </r>
  </si>
  <si>
    <t xml:space="preserve">There are countless hours of volunteer work done in the United States and in Maryland every day. They provide important community services and often support those most in need. While they are clearly important work and provide well-being to thousands, they are not at all counted in conventional GDP metrics. There have been increased efforts in the last years to better track volunteerism, most notably with volunteeringinamerica.gov. The GPI tries to include this data in its calculations. There are. however, some serious limitations, primarily leading to a more conservative estimate of volunteering. Since volunteering estimates are produced using surveys, there can be issues with respondents making overly high claims to feel good about themselves, or in the other direction simply forgetting to mention activities that they consider just natural help among neighbors. It is generally easier to capture organized volunteering in political parties, associations or institutions such as Americorps than work done informally at a local level.
To create largely consistent data for this indicator, instead of using the proxy of education as done in other studies, we tried to focus on actual volunteering studies. The Current Population Survey (CPS), a joint effort by the Bureau of Labour Statistics and the Census Bureau, now tracks volunteerign for all states in a supplement. Focusing on this makes a constant tracking of this information for the GPI both easier and more accurate. Data was available for 1974, 1989, and 2002 to 2008, other years were interpolated, taking population growth into account. The total volunteer hours worked were then multiplied by a wage rate for volunteers as calculated by Independent Sector, www.independentsector.org.
The results show that volunteering has been rising steadily, with Maryland Citizens being more active than the national average. Maryland is currently ranked 10th in the number of volunteer hours per resident, somewhat lower for the percentage of Maryland citizens volunteering.
EXPAND: The state of Maryland has taken measures to support and encourage volunteer work. The ..... was established in ..... &lt;This should be filled in by someone with one of the volunteering offices for MD&gt;
</t>
  </si>
  <si>
    <t>Indicator 22: Cost of Lost Leisure Time</t>
  </si>
  <si>
    <t>Cost of Lost Leisure Time (Billion 2000 $)</t>
  </si>
  <si>
    <t>Lost Leisure Time per Unconstrained Worker (Hours)</t>
    <phoneticPr fontId="0" type="noConversion"/>
  </si>
  <si>
    <t>Total Hours of Leisure Time Lost</t>
  </si>
  <si>
    <t>Hours of Leisure Time Lost Multiplied by the Wage Rate</t>
    <phoneticPr fontId="0" type="noConversion"/>
  </si>
  <si>
    <t>Based on American Time Use Survey and Other Sources</t>
    <phoneticPr fontId="0" type="noConversion"/>
  </si>
  <si>
    <t>Based on Indicator 6, Workers Neither Undemployed Nor Underemployed</t>
    <phoneticPr fontId="0" type="noConversion"/>
  </si>
  <si>
    <t>Row 2 Multiplied by Row 3</t>
    <phoneticPr fontId="0" type="noConversion"/>
  </si>
  <si>
    <t>Taken from Indicator 6</t>
    <phoneticPr fontId="0" type="noConversion"/>
  </si>
  <si>
    <t>Hours spent on market work per worker, unconstrained labor force</t>
  </si>
  <si>
    <t>Hours spent on non-market work per worker, unconstrained labor force</t>
  </si>
  <si>
    <t>Annual work hours per worker, unconstrained labor force</t>
  </si>
  <si>
    <t>Work hours per day, population 15 and over ATUS</t>
  </si>
  <si>
    <t>Work hours per year, population 15 and over, ATUS</t>
  </si>
  <si>
    <t>Annual work hours per worker , unconstrained labor force, interpolated and extrapolated</t>
  </si>
  <si>
    <t>Annual work hours per worker, unconstrained labor force, combined</t>
  </si>
  <si>
    <t>Lost leisure time per unconstrained worker</t>
  </si>
  <si>
    <t>Size of Maryland Labor Force</t>
  </si>
  <si>
    <t>Underemployment rate</t>
  </si>
  <si>
    <t>Unconstrained workers</t>
  </si>
  <si>
    <t>Total hours of leisure time lost</t>
  </si>
  <si>
    <t>Maryland average wage rate (2000 $)</t>
  </si>
  <si>
    <t>Calculated, Row 13 Multiplied by Row 14</t>
    <phoneticPr fontId="0" type="noConversion"/>
  </si>
  <si>
    <t>2 to 3</t>
  </si>
  <si>
    <t>From Leete-Guy and Schor, 1992</t>
  </si>
  <si>
    <t>Calculated, Sum of Above</t>
    <phoneticPr fontId="0" type="noConversion"/>
  </si>
  <si>
    <t>From American Time Use Survey, http://www.bls.gov/tus/#tables</t>
  </si>
  <si>
    <t>Calculated, Multiplied by 265</t>
    <phoneticPr fontId="0" type="noConversion"/>
  </si>
  <si>
    <t>Combination from Above</t>
    <phoneticPr fontId="0" type="noConversion"/>
  </si>
  <si>
    <t>Difference Between Current Year and Base Year Work Time</t>
    <phoneticPr fontId="0" type="noConversion"/>
  </si>
  <si>
    <t>Taken from Underemployment Spreadsheet</t>
    <phoneticPr fontId="0" type="noConversion"/>
  </si>
  <si>
    <t>Calculated, Row 9 Multiplied by Row 13</t>
    <phoneticPr fontId="0" type="noConversion"/>
  </si>
  <si>
    <t xml:space="preserve">(Lost Leisure Hours) Multiplied by (Average Wage Rate) </t>
  </si>
  <si>
    <t xml:space="preserve">While there has been some debate on the appropriate methodology for capturing changes in work hours, there has been the overall public perception that individuals need to commit to ever rising work hours, losing leisure time as well as time for activities like housework or volunteering (captured elsewhere). The GPI tries to capture this through including a deduction for increased work hours.
We follow previous GPI calculations in their methodology, but are actively working on an improved approach that would be based on more recent time-use studies and avoid issues of double counting.  Instead of using the hours per worker, we use the data on unconstrained workers from Leete-Guy and Schor (based on the Current Population Study), since it is only those that would be experiencing "too much work".  Counting the underemployed both here and under the Costs of Underemployment indicator would be illogical.  We count both market and non-market work, since the aim is to capture losses in leisure time, changes in market work time are captured through income, changes in non-market work by the counting of household labor.
We use linear interpolation between the data points from Leete-Guy and Chor and adopted the assumption of a decline in work hours by 0.3% before 1969 from Talberth 2007, as well as the assumption of an annual rise in working hours by 5.2 hours between 1989 and 1994 based on Mishel et al., applied until 2002.  Since work hours of the unconstrained labor force seem to rise faster than those of the overall labor force, using the value by Mishel et al. is a conservative approach.  Beyond 2002, we use trends from the American Time Use Survey (ATUS).  From 2003 to 2008, hours worked by the population over 15 years old grew by an average of 292 hours.  And since the population over 15 years old consists of about 60% unconstrained workers (in 2008, and based on numbers from the underemployment and housework sheets), which is where most of the growth in work time must occur, we divide this value by 0.60, giving a value of 3.2 hours growth per year.
We then took the difference between hours worked in the year with most leisure – 1969 – and other years as a figure of lost leisure time.
</t>
  </si>
  <si>
    <t>Indicator 23: Value of Higher Education</t>
  </si>
  <si>
    <t>Value of Higher Education (Billion 2000 $)</t>
  </si>
  <si>
    <t>Percent of MD Population over 25 with Bachelors Degree or more</t>
  </si>
  <si>
    <t>Persons 25+ with a Bachelor Degree or more (1,000s)</t>
  </si>
  <si>
    <t>Persons 25 years or older with a Bachelor Degree Multiplied by $16,000</t>
    <phoneticPr fontId="0" type="noConversion"/>
  </si>
  <si>
    <t>Based on Statistical Abstract</t>
    <phoneticPr fontId="0" type="noConversion"/>
  </si>
  <si>
    <t>Calculated based on Statistical Abstract</t>
    <phoneticPr fontId="0" type="noConversion"/>
  </si>
  <si>
    <t>Value of Higher Education (Billion 2000 $)</t>
    <phoneticPr fontId="0" type="noConversion"/>
  </si>
  <si>
    <t>Percent of MD Population over 25 with Bachelors Degree or more</t>
    <phoneticPr fontId="0" type="noConversion"/>
  </si>
  <si>
    <t>Maryland Population (Thousands)</t>
    <phoneticPr fontId="0" type="noConversion"/>
  </si>
  <si>
    <t>Ratio of those over 25 from National Data</t>
    <phoneticPr fontId="0" type="noConversion"/>
  </si>
  <si>
    <t>Maryland Population over 25 (Thousands)</t>
    <phoneticPr fontId="0" type="noConversion"/>
  </si>
  <si>
    <t>Persons  25+ with a Bachelor Degree or more (1,000s)</t>
  </si>
  <si>
    <t>http://quickfacts.census.gov/qfd/states/24000.html</t>
  </si>
  <si>
    <t>Statistical Abstracts</t>
  </si>
  <si>
    <t>(Maryland Residents 25 years or older with a Bachelor Degree ) Multiplied by $16,000</t>
  </si>
  <si>
    <r>
      <t>Higher Education Data</t>
    </r>
    <r>
      <rPr>
        <sz val="11"/>
        <rFont val="Verdana"/>
        <family val="2"/>
      </rPr>
      <t xml:space="preserve"> 
Education attainment data for Maryland could only be found for years after 1980.  Trends before that are assumed to be the same as 1980 to 1990.  Maryland population over 25 was not available for each year from statistical abstracts, but from several national data points the ratio of those over 25 was applied.  
</t>
    </r>
    <r>
      <rPr>
        <b/>
        <i/>
        <sz val="11"/>
        <rFont val="Verdana"/>
        <family val="2"/>
      </rPr>
      <t>Higher Education Value</t>
    </r>
    <r>
      <rPr>
        <sz val="11"/>
        <rFont val="Verdana"/>
        <family val="2"/>
      </rPr>
      <t xml:space="preserve">
The social benefits of higher education value of $16,000 was adopted from the national GPI report.
</t>
    </r>
  </si>
  <si>
    <t>Indicator 24: Services of Highways and Streets</t>
  </si>
  <si>
    <t>Services of Highways and Streets (Billion 2000 $)</t>
  </si>
  <si>
    <t>Stock of Highways and Streets in US (Billion Current $)</t>
  </si>
  <si>
    <t>Services of Highways and Streets in US (Billion 2000 $)</t>
  </si>
  <si>
    <t>Row 3 Times Row 6</t>
    <phoneticPr fontId="0" type="noConversion"/>
  </si>
  <si>
    <t>Bureau of Economic Analysis NIPA Tables</t>
    <phoneticPr fontId="0" type="noConversion"/>
  </si>
  <si>
    <t>7.5% of the Stock, Adjusted for Inflation</t>
    <phoneticPr fontId="0" type="noConversion"/>
  </si>
  <si>
    <t>Calculated Based on Rows 4 and 5</t>
  </si>
  <si>
    <t>Services of Highways and Streets in US (Billion Current $)</t>
  </si>
  <si>
    <t>Consumer Price Index-Urban, Base Year 2000</t>
  </si>
  <si>
    <t>US Miles of Highways</t>
    <phoneticPr fontId="0" type="noConversion"/>
  </si>
  <si>
    <t>MD Miles of Highways</t>
    <phoneticPr fontId="0" type="noConversion"/>
  </si>
  <si>
    <t>Ratio: MD Highway Mileage &amp; US Highway Mileage</t>
  </si>
  <si>
    <t>Ratio: MD Highway Mileage &amp; US Highway Mileage, Assumed</t>
    <phoneticPr fontId="0" type="noConversion"/>
  </si>
  <si>
    <t xml:space="preserve">Ratio of Maryland Highway Miles to US Highway Miles </t>
    <phoneticPr fontId="0" type="noConversion"/>
  </si>
  <si>
    <t>Row 5 Times Row 10</t>
    <phoneticPr fontId="0" type="noConversion"/>
  </si>
  <si>
    <t>Starting in 2006:</t>
  </si>
  <si>
    <t>BEA NIPA Tables: http://www.bea.gov/scb/pdf/2010/09%20September/0910_fixedassets.pdf (page 30)</t>
  </si>
  <si>
    <t xml:space="preserve">For 2010: </t>
  </si>
  <si>
    <t>http://www.bea.gov/national/FA2004/TableView.asp?SelectedTable=30&amp;FirstYear=1997&amp;LastYear=2010&amp;Freq=Year&amp;JavaBox=Y</t>
  </si>
  <si>
    <t>Stock * 7.5%</t>
  </si>
  <si>
    <t>Taken from "GPI: Personal Consumption Expenditures"</t>
  </si>
  <si>
    <t>Row 3 Divided by Row 4</t>
    <phoneticPr fontId="0" type="noConversion"/>
  </si>
  <si>
    <t>Sean: New</t>
  </si>
  <si>
    <t>http://www.bea.gov/iTable/iTable.cfm?ReqID=10&amp;step=1</t>
  </si>
  <si>
    <t>Census Statistical Abstracts: http://www.census.gov/compendia/statab/ (go to Transportation)</t>
  </si>
  <si>
    <t>Row 5 Divided by Row 4</t>
  </si>
  <si>
    <t>Based on Surrounding Years; Minor Change</t>
  </si>
  <si>
    <t>Combined from Row 6 and Row 7</t>
    <phoneticPr fontId="0" type="noConversion"/>
  </si>
  <si>
    <t>Formula for Monetary Value:</t>
  </si>
  <si>
    <t>(Stock of Highways and Streets) Multiplied by 7.5%</t>
  </si>
  <si>
    <t>The annual value of services from highways and streets for the entire United States is derived the Bureau of Economic Analysis (BEA) figures of the net stock of federal, state, and local government streets and highways from 1950 to 2004.  The annual value of services from streets and highways is estimated by taking 7.5 percent of the net stock value.  This is based on the logic that around 10 percent of the net stock (2.5 percent for depreciation and 7.5 percent for average interest rates) is the estimated annual value of all services from streets and highways.  However, since we assumed that 25 percent of all vehicle miles are for commuting (a defensive expenditure), this leaves 75 percent as net benefits.  Thus the GPI assumes the net service value of streets and highways is 75 percent of 10 percent, or 7.5 percent of net stock.
Since state stocks of highways and streets were not available, we used numbers on the overall miles of highways in the United States and in Maryland to scale the results to the state level. US and state highway mileage was taken from the US statistical abstract for some years, and the ratios from those years extended between them and after 2006 (the latest available data). The ratio barely changes, allowing for such an operation.  For early years, municipal and rural highway numbers were used, since federal highways did not exist then.</t>
  </si>
  <si>
    <t>Indicator 25: Cost of Commuting</t>
  </si>
  <si>
    <t>Cost of Commuting (Billion 2000 $)</t>
  </si>
  <si>
    <t>Total Public Transport Fare Revenue (2000 $)</t>
  </si>
  <si>
    <t>Commuting Cars Driven</t>
  </si>
  <si>
    <t>Average Miles per Car Driven</t>
  </si>
  <si>
    <t>Total Direct Driving Costs</t>
  </si>
  <si>
    <t>Total Hours Spent Commuting</t>
  </si>
  <si>
    <t>Value of Lost Time</t>
  </si>
  <si>
    <t>(0.3 * Row 5) Plus Row 15 plus Row 18</t>
    <phoneticPr fontId="0" type="noConversion"/>
  </si>
  <si>
    <t>Calculated Based on Data from Maryland Department of Transportation</t>
    <phoneticPr fontId="0" type="noConversion"/>
  </si>
  <si>
    <t>From WMATA Public Reporting 2008, Trend Back to Opening</t>
    <phoneticPr fontId="0" type="noConversion"/>
  </si>
  <si>
    <t>Sum of Rows 2 and 3, Converted to 2000 $</t>
    <phoneticPr fontId="0" type="noConversion"/>
  </si>
  <si>
    <t>Calculated Based on Statistical Abstract</t>
    <phoneticPr fontId="0" type="noConversion"/>
  </si>
  <si>
    <t>Based on Comuuting Times and Average Speed</t>
    <phoneticPr fontId="0" type="noConversion"/>
  </si>
  <si>
    <t>Communting Cars Multiplied by Miles Driven Multiplied by 22 Cent</t>
    <phoneticPr fontId="0" type="noConversion"/>
  </si>
  <si>
    <t>Based on Average Commute Lengths and Workdays</t>
    <phoneticPr fontId="0" type="noConversion"/>
  </si>
  <si>
    <t>Taken rom Indicator 6</t>
    <phoneticPr fontId="0" type="noConversion"/>
  </si>
  <si>
    <t>Commuting Hours Multiplied by 65% of the Wage Rate</t>
    <phoneticPr fontId="0" type="noConversion"/>
  </si>
  <si>
    <t>Cost of Commuting (Billions, 2000 $)</t>
    <phoneticPr fontId="0" type="noConversion"/>
  </si>
  <si>
    <t>Fare Revenue of MTA (Current $)</t>
  </si>
  <si>
    <t>Fare Revenue of MTA and Local Transport (Current $)</t>
  </si>
  <si>
    <t>WMATA Fare Revenue (Current $)</t>
  </si>
  <si>
    <t>Total Public Transport Fare Revenue (Current $)</t>
  </si>
  <si>
    <t>Consumer Price Index</t>
    <phoneticPr fontId="0" type="noConversion"/>
  </si>
  <si>
    <t>Total Public Transport Fare Revenue (2000 $)</t>
    <phoneticPr fontId="0" type="noConversion"/>
  </si>
  <si>
    <t>MD Mean Travel Time to Work</t>
  </si>
  <si>
    <t>MD Mean Travel Time to Work, Extrapolated National Trends</t>
  </si>
  <si>
    <t>MD Share of Labor Force Employed</t>
  </si>
  <si>
    <t>MD Percentage of Workers Driving</t>
  </si>
  <si>
    <t>MD Percentage of Workers Carpooling</t>
  </si>
  <si>
    <t>Wage Rate (2000 $)</t>
  </si>
  <si>
    <t>(0.3 Multiplied by Row 5) Plus Row 15 Plus row 18</t>
    <phoneticPr fontId="0" type="noConversion"/>
  </si>
  <si>
    <t>From MDOT/MTA</t>
  </si>
  <si>
    <t>Calculated Based on Data from MDOT / MTA</t>
    <phoneticPr fontId="0" type="noConversion"/>
  </si>
  <si>
    <t>From WMATA public reporting 2008, trend back to opening</t>
  </si>
  <si>
    <t>Sum of Above</t>
    <phoneticPr fontId="0" type="noConversion"/>
  </si>
  <si>
    <t>From Personal Consumption Sheet</t>
    <phoneticPr fontId="0" type="noConversion"/>
  </si>
  <si>
    <t>From Statistical Abstract, Table 1060 and Equivalent</t>
  </si>
  <si>
    <t>American Community Survey</t>
  </si>
  <si>
    <t>Md Labor force from underemployment sheet times 1-unemployment rate</t>
  </si>
  <si>
    <t>11 to 12</t>
  </si>
  <si>
    <t>Based on Statistical Abstract, Held Constant</t>
    <phoneticPr fontId="0" type="noConversion"/>
  </si>
  <si>
    <t>Calculated, Workers Driving Alone Plus Half the Workers Carpooling</t>
    <phoneticPr fontId="0" type="noConversion"/>
  </si>
  <si>
    <t>Miles per Minute Times Commuting Time Multiplied by 2</t>
    <phoneticPr fontId="0" type="noConversion"/>
  </si>
  <si>
    <t>Calculated, Cars Multiplied by Miles Multiplied by 0.44 Cent</t>
    <phoneticPr fontId="0" type="noConversion"/>
  </si>
  <si>
    <t>Calculated, Mean Commuting Time Multiplied by Employed Workers Multiplied by Work Days Divided by 60</t>
    <phoneticPr fontId="0" type="noConversion"/>
  </si>
  <si>
    <t>Calculated, Commuting Hours Times 0.65 Wage Rate</t>
    <phoneticPr fontId="0" type="noConversion"/>
  </si>
  <si>
    <t>[(Miles Travelled) Multiplied by (Cost per Mile for Vehicle Use)] Added to [(Hours Spent Commuting) Multiplied by (Reduced Wage Rate)] Added to (Spending on Public Transport Fares)</t>
  </si>
  <si>
    <t xml:space="preserve">There are two types of commuting costs.  The first are direct costs, which are incurred for purchasing a vehicle and its maintenance and fares for public transport.  The second are the more indirect, elusive costs, which is the lost time that could have been spent on more pleasant activities.  Some other studies used operating costs / overall budgets of public transit systems, which create a high likelihood of subtracting government expenditures that were never included in the first place. Using numbers on fares makes more sense, considering that these are actually a part of the original private consumption expenditure figure.
Local fares proved to be virtually impossible to compare over time due to significant gaps in data.  The ratio of local to State public transit was calculated for 2007, with local transit about 8% of state transit.  From Costanza et al.:We found that it was possible to extrapolate figures for all agencies by applying a trend found in the “1996 Motor Vehicle Facts and Figures” (American Automobile Manufacturers Association, 1996, p.62).  The report provided a national figure for purchased local transportation for the years 1984-1995.  Based on these figures, an increase of 25% was observed during the decade 1984-1994.  This ratio was applied, and a similar trend of a 25% rise per decade was assumed with linear interpolation.
The Washington Metro opened in 1976, so fares were taken as zero for before then.  Since WMATA data was only available for most recent years, a linear trend from 0 in 1976 to the 2008 value was interpolated.  Based on the subsidy formula (which is based on population), 40% of WMATA fares were attributed to Maryland.
Using 250 work days as base (Bagstad and Ceroni), double time for round trip.  National mean travel time went from 21.7 minutes to 22.4 minutes between 1980 and 1990, and to 24.4 minutes in 2000.  We used those percentage changes, and assumed that trends held constant.  Shares of workers commuting by various means were kept constant.  The number of workers was also available in the statistical abstract, but due to different values we replaced that data with employed share of Maryland labor force.
</t>
  </si>
  <si>
    <t xml:space="preserve">“1996 Motor Vehicle Facts and Figures” (American Automobile Manufacturers Association, 1996, p.62)
</t>
  </si>
  <si>
    <t>Indicator 26: Cost of Motor Vehicle Crashes</t>
  </si>
  <si>
    <t>Cost of Motor Vehicle Crashes (Billion 2000 $)</t>
  </si>
  <si>
    <t>Total Fatalities from Motor Vehicle Crashes</t>
  </si>
  <si>
    <t>Number of Injuries from Motor Vehicle Crashes</t>
  </si>
  <si>
    <t>Number of Motor Vehicle Crashes with Property Damage Only (estimated)</t>
  </si>
  <si>
    <t>Numbers of Accidents, Fatalities and Injuries Multiplied by Cost Estimates</t>
    <phoneticPr fontId="0" type="noConversion"/>
  </si>
  <si>
    <t>Maryland State Highway Administration, based on police accident reports</t>
  </si>
  <si>
    <t>Based on Maryland State Highway Administration, based on police accident reports</t>
    <phoneticPr fontId="0" type="noConversion"/>
  </si>
  <si>
    <t>Cost of Motor Vehicle Crashes (Billions, 2000 $)</t>
  </si>
  <si>
    <t>Cost of Motor Vehicle Crashes (Millions, 2000 $)</t>
  </si>
  <si>
    <t>Motor Vehicle Crashes with Fatalities</t>
    <phoneticPr fontId="0" type="noConversion"/>
  </si>
  <si>
    <t>Total Fatalities from Motor Vehicle Crashes</t>
    <phoneticPr fontId="0" type="noConversion"/>
  </si>
  <si>
    <t>Number of Motor Vehicle Crashes with Injuries</t>
    <phoneticPr fontId="0" type="noConversion"/>
  </si>
  <si>
    <t>Number of Injuries from Motor Vehicle Crashes</t>
    <phoneticPr fontId="0" type="noConversion"/>
  </si>
  <si>
    <t>Number of Motor Vehicle Crashes with Property Damage Only</t>
    <phoneticPr fontId="0" type="noConversion"/>
  </si>
  <si>
    <t>Number of Motor Vehicle Crashes with Property Damage Only, estimated</t>
    <phoneticPr fontId="0" type="noConversion"/>
  </si>
  <si>
    <t>Calculated from 1977, Extrapolated Earlier</t>
    <phoneticPr fontId="0" type="noConversion"/>
  </si>
  <si>
    <t>Maryland State Highway Administration, Based on Police Accident Reports</t>
    <phoneticPr fontId="0" type="noConversion"/>
  </si>
  <si>
    <t>Calculated, Smoothing out Change in Reporting Requirements</t>
    <phoneticPr fontId="0" type="noConversion"/>
  </si>
  <si>
    <t>[(Number of Deaths from Motor Vehicle Crashes) Multiplied by $1,024,000] Added to [(Number of Injuries from Motor Vehicle Crashes) Multiplied by $36,000] Added to [(Property Damage Accidents) Multiplied by $6,400]</t>
  </si>
  <si>
    <r>
      <t xml:space="preserve">Automobile Accidents Data </t>
    </r>
    <r>
      <rPr>
        <sz val="11"/>
        <rFont val="Verdana"/>
        <family val="2"/>
      </rPr>
      <t xml:space="preserve">
Calculating motor vehicle crashes is challenging due to the severity of the crash triggering reporting of the crash.  For instance, a drop in 1970s to 1980s is explained by a change in reporting requirements as very minor accidents are no longer reported since then.  As there was a drop of about 50% in reported Property Damage Only (PDO) crashes between 1978 and 1980, values from 1980 onwards were corrected upwards by 50%.  Since data was not available before 1977, accident costs were assumed to have risen along the same trend visible from 1977 to 1987.
</t>
    </r>
    <r>
      <rPr>
        <b/>
        <i/>
        <sz val="11"/>
        <rFont val="Verdana"/>
        <family val="2"/>
      </rPr>
      <t>Automobile Accidents Value</t>
    </r>
    <r>
      <rPr>
        <sz val="11"/>
        <rFont val="Verdana"/>
        <family val="2"/>
      </rPr>
      <t xml:space="preserve">
Using the methodology of previous studies, values per accident from the National Safety Council (NSC) Injury Facts 2004 were used. An alternative technique is used by the Maryland State Highway Administration.  However since such estimates can diverge widely based on various assumptions, and the trend in actual accidents is the more relevant number, the NSC values were chosen here.  The NSC calculates a cost of $1,024,000 per death, $36,000 per injury, and $6,400 per property damage accident.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</si>
</sst>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3" formatCode="_(* #,##0.00_);_(* \(#,##0.00\);_(* &quot;-&quot;??_);_(@_)"/>
    <numFmt numFmtId="164" formatCode="0.000000"/>
    <numFmt numFmtId="165" formatCode="0.000"/>
    <numFmt numFmtId="166" formatCode="#,##0.000"/>
    <numFmt numFmtId="167" formatCode="#,##0.00000000000000"/>
    <numFmt numFmtId="168" formatCode="0.0"/>
    <numFmt numFmtId="169" formatCode="_(* #,##0_);_(* \(#,##0\);_(* &quot;-&quot;??_);_(@_)"/>
    <numFmt numFmtId="170" formatCode="#,##0.0000"/>
  </numFmts>
  <fonts count="22" x14ac:knownFonts="1">
    <font>
      <sz val="10"/>
      <name val="Verdana"/>
    </font>
    <font>
      <sz val="14"/>
      <name val="Verdana"/>
      <family val="2"/>
    </font>
    <font>
      <sz val="11"/>
      <name val="Verdana"/>
      <family val="2"/>
    </font>
    <font>
      <b/>
      <sz val="11"/>
      <name val="Verdana"/>
      <family val="2"/>
    </font>
    <font>
      <sz val="12"/>
      <name val="Verdana"/>
      <family val="2"/>
    </font>
    <font>
      <u/>
      <sz val="10"/>
      <color indexed="12"/>
      <name val="Verdana"/>
      <family val="2"/>
    </font>
    <font>
      <b/>
      <i/>
      <sz val="12"/>
      <name val="Verdana"/>
      <family val="2"/>
    </font>
    <font>
      <b/>
      <sz val="12"/>
      <name val="Verdana"/>
      <family val="2"/>
    </font>
    <font>
      <b/>
      <sz val="10"/>
      <name val="Verdana"/>
      <family val="2"/>
    </font>
    <font>
      <sz val="10"/>
      <name val="Verdana"/>
      <family val="2"/>
    </font>
    <font>
      <sz val="7"/>
      <color rgb="FF222222"/>
      <name val="Arial"/>
      <family val="2"/>
    </font>
    <font>
      <b/>
      <sz val="11"/>
      <color rgb="FFFF0000"/>
      <name val="Verdana"/>
      <family val="2"/>
    </font>
    <font>
      <sz val="10"/>
      <name val="Arial"/>
      <family val="2"/>
    </font>
    <font>
      <sz val="11"/>
      <name val="Courier New"/>
      <family val="3"/>
    </font>
    <font>
      <sz val="11"/>
      <color theme="1"/>
      <name val="Verdana"/>
      <family val="2"/>
    </font>
    <font>
      <b/>
      <sz val="9"/>
      <color indexed="81"/>
      <name val="Tahoma"/>
      <family val="2"/>
    </font>
    <font>
      <sz val="9"/>
      <color indexed="81"/>
      <name val="Tahoma"/>
      <family val="2"/>
    </font>
    <font>
      <b/>
      <i/>
      <sz val="11"/>
      <name val="Verdana"/>
      <family val="2"/>
    </font>
    <font>
      <b/>
      <sz val="9"/>
      <color indexed="81"/>
      <name val="Verdana"/>
      <family val="2"/>
    </font>
    <font>
      <sz val="9"/>
      <color indexed="81"/>
      <name val="Verdana"/>
      <family val="2"/>
    </font>
    <font>
      <b/>
      <sz val="11"/>
      <color indexed="9"/>
      <name val="Verdana"/>
      <family val="2"/>
    </font>
    <font>
      <u/>
      <sz val="11"/>
      <color indexed="12"/>
      <name val="Verdana"/>
      <family val="2"/>
    </font>
  </fonts>
  <fills count="14">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rgb="FFFF99CC"/>
        <bgColor indexed="64"/>
      </patternFill>
    </fill>
    <fill>
      <patternFill patternType="solid">
        <fgColor rgb="FFCCFFCC"/>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indexed="43"/>
        <bgColor indexed="64"/>
      </patternFill>
    </fill>
    <fill>
      <patternFill patternType="solid">
        <fgColor theme="5" tint="0.59999389629810485"/>
        <bgColor indexed="64"/>
      </patternFill>
    </fill>
    <fill>
      <patternFill patternType="solid">
        <fgColor indexed="41"/>
        <bgColor indexed="51"/>
      </patternFill>
    </fill>
  </fills>
  <borders count="3">
    <border>
      <left/>
      <right/>
      <top/>
      <bottom/>
      <diagonal/>
    </border>
    <border>
      <left/>
      <right/>
      <top/>
      <bottom style="thick">
        <color indexed="23"/>
      </bottom>
      <diagonal/>
    </border>
    <border>
      <left style="thin">
        <color indexed="64"/>
      </left>
      <right/>
      <top/>
      <bottom/>
      <diagonal/>
    </border>
  </borders>
  <cellStyleXfs count="8">
    <xf numFmtId="0" fontId="0" fillId="0" borderId="0"/>
    <xf numFmtId="0" fontId="5" fillId="0" borderId="0" applyNumberFormat="0" applyFill="0" applyBorder="0" applyAlignment="0" applyProtection="0">
      <alignment vertical="top"/>
      <protection locked="0"/>
    </xf>
    <xf numFmtId="0" fontId="12" fillId="0" borderId="0"/>
    <xf numFmtId="43" fontId="9" fillId="0" borderId="0" applyFont="0" applyFill="0" applyBorder="0" applyAlignment="0" applyProtection="0"/>
    <xf numFmtId="0" fontId="5" fillId="0" borderId="0" applyNumberFormat="0" applyFill="0" applyBorder="0" applyAlignment="0" applyProtection="0">
      <alignment vertical="top"/>
      <protection locked="0"/>
    </xf>
    <xf numFmtId="0" fontId="9" fillId="0" borderId="0"/>
    <xf numFmtId="0" fontId="12" fillId="0" borderId="0"/>
    <xf numFmtId="0" fontId="12" fillId="0" borderId="0"/>
  </cellStyleXfs>
  <cellXfs count="149">
    <xf numFmtId="0" fontId="0" fillId="0" borderId="0" xfId="0"/>
    <xf numFmtId="0" fontId="1" fillId="0" borderId="1" xfId="0" applyNumberFormat="1" applyFont="1" applyBorder="1"/>
    <xf numFmtId="0" fontId="1" fillId="0" borderId="1" xfId="0" applyFont="1" applyBorder="1"/>
    <xf numFmtId="0" fontId="2" fillId="0" borderId="1" xfId="0" applyFont="1" applyBorder="1"/>
    <xf numFmtId="0" fontId="0" fillId="0" borderId="1" xfId="0" applyBorder="1"/>
    <xf numFmtId="0" fontId="3" fillId="2" borderId="0" xfId="0" applyNumberFormat="1" applyFont="1" applyFill="1" applyAlignment="1">
      <alignment horizontal="center"/>
    </xf>
    <xf numFmtId="0" fontId="3" fillId="2" borderId="0" xfId="0" applyFont="1" applyFill="1" applyAlignment="1">
      <alignment horizontal="right"/>
    </xf>
    <xf numFmtId="0" fontId="3" fillId="2" borderId="0" xfId="0" applyFont="1" applyFill="1" applyAlignment="1">
      <alignment horizontal="center"/>
    </xf>
    <xf numFmtId="0" fontId="2" fillId="0" borderId="0" xfId="0" applyNumberFormat="1" applyFont="1" applyFill="1"/>
    <xf numFmtId="164" fontId="2" fillId="0" borderId="0" xfId="0" applyNumberFormat="1" applyFont="1" applyFill="1"/>
    <xf numFmtId="164" fontId="4" fillId="0" borderId="0" xfId="0" applyNumberFormat="1" applyFont="1" applyFill="1"/>
    <xf numFmtId="3" fontId="2" fillId="0" borderId="0" xfId="0" applyNumberFormat="1" applyFont="1" applyFill="1"/>
    <xf numFmtId="3" fontId="4" fillId="0" borderId="0" xfId="0" applyNumberFormat="1" applyFont="1" applyFill="1"/>
    <xf numFmtId="0" fontId="2" fillId="0" borderId="0" xfId="0" applyNumberFormat="1" applyFont="1"/>
    <xf numFmtId="0" fontId="2" fillId="0" borderId="0" xfId="0" applyFont="1"/>
    <xf numFmtId="0" fontId="4" fillId="0" borderId="0" xfId="0" applyFont="1"/>
    <xf numFmtId="0" fontId="4" fillId="0" borderId="0" xfId="0" applyNumberFormat="1" applyFont="1"/>
    <xf numFmtId="0" fontId="2" fillId="4" borderId="0" xfId="0" applyNumberFormat="1" applyFont="1" applyFill="1"/>
    <xf numFmtId="0" fontId="2" fillId="4" borderId="0" xfId="0" applyFont="1" applyFill="1"/>
    <xf numFmtId="0" fontId="0" fillId="4" borderId="0" xfId="0" applyFill="1"/>
    <xf numFmtId="0" fontId="2" fillId="5" borderId="0" xfId="0" applyNumberFormat="1" applyFont="1" applyFill="1"/>
    <xf numFmtId="0" fontId="2" fillId="5" borderId="0" xfId="0" applyFont="1" applyFill="1"/>
    <xf numFmtId="0" fontId="0" fillId="5" borderId="0" xfId="0" applyFill="1"/>
    <xf numFmtId="2" fontId="2" fillId="5" borderId="0" xfId="0" applyNumberFormat="1" applyFont="1" applyFill="1"/>
    <xf numFmtId="2" fontId="0" fillId="5" borderId="0" xfId="0" applyNumberFormat="1" applyFill="1"/>
    <xf numFmtId="0" fontId="4" fillId="4" borderId="0" xfId="0" applyFont="1" applyFill="1"/>
    <xf numFmtId="0" fontId="4" fillId="5" borderId="0" xfId="0" applyFont="1" applyFill="1"/>
    <xf numFmtId="0" fontId="2" fillId="6" borderId="0" xfId="0" applyNumberFormat="1" applyFont="1" applyFill="1"/>
    <xf numFmtId="0" fontId="2" fillId="6" borderId="0" xfId="0" applyFont="1" applyFill="1"/>
    <xf numFmtId="0" fontId="4" fillId="6" borderId="0" xfId="0" applyFont="1" applyFill="1"/>
    <xf numFmtId="0" fontId="4" fillId="0" borderId="0" xfId="0" applyNumberFormat="1" applyFont="1" applyAlignment="1">
      <alignment horizontal="right"/>
    </xf>
    <xf numFmtId="0" fontId="5" fillId="0" borderId="0" xfId="1" applyAlignment="1" applyProtection="1"/>
    <xf numFmtId="0" fontId="4" fillId="0" borderId="0" xfId="0" applyFont="1" applyAlignment="1">
      <alignment vertical="top" wrapText="1"/>
    </xf>
    <xf numFmtId="0" fontId="0" fillId="0" borderId="0" xfId="0" applyNumberFormat="1"/>
    <xf numFmtId="0" fontId="7" fillId="0" borderId="0" xfId="0" applyNumberFormat="1" applyFont="1"/>
    <xf numFmtId="0" fontId="8" fillId="2" borderId="0" xfId="0" applyFont="1" applyFill="1" applyAlignment="1">
      <alignment horizontal="center"/>
    </xf>
    <xf numFmtId="164" fontId="2" fillId="0" borderId="0" xfId="0" applyNumberFormat="1" applyFont="1" applyFill="1" applyAlignment="1">
      <alignment horizontal="left"/>
    </xf>
    <xf numFmtId="164" fontId="0" fillId="0" borderId="0" xfId="0" applyNumberFormat="1" applyFill="1"/>
    <xf numFmtId="0" fontId="2" fillId="0" borderId="0" xfId="0" applyFont="1" applyFill="1"/>
    <xf numFmtId="0" fontId="0" fillId="0" borderId="0" xfId="0" applyFill="1"/>
    <xf numFmtId="2" fontId="2" fillId="0" borderId="0" xfId="0" applyNumberFormat="1" applyFont="1" applyFill="1"/>
    <xf numFmtId="3" fontId="0" fillId="0" borderId="0" xfId="0" applyNumberFormat="1" applyFill="1"/>
    <xf numFmtId="4" fontId="2" fillId="0" borderId="0" xfId="0" applyNumberFormat="1" applyFont="1" applyFill="1"/>
    <xf numFmtId="4" fontId="0" fillId="0" borderId="0" xfId="0" applyNumberFormat="1" applyFill="1"/>
    <xf numFmtId="0" fontId="3" fillId="0" borderId="0" xfId="0" applyFont="1" applyFill="1"/>
    <xf numFmtId="0" fontId="9" fillId="4" borderId="0" xfId="0" applyFont="1" applyFill="1"/>
    <xf numFmtId="0" fontId="9" fillId="5" borderId="0" xfId="0" applyFont="1" applyFill="1"/>
    <xf numFmtId="3" fontId="10" fillId="0" borderId="0" xfId="0" applyNumberFormat="1" applyFont="1"/>
    <xf numFmtId="2" fontId="2" fillId="4" borderId="0" xfId="0" applyNumberFormat="1" applyFont="1" applyFill="1"/>
    <xf numFmtId="3" fontId="2" fillId="7" borderId="0" xfId="0" applyNumberFormat="1" applyFont="1" applyFill="1"/>
    <xf numFmtId="3" fontId="2" fillId="5" borderId="0" xfId="0" applyNumberFormat="1" applyFont="1" applyFill="1"/>
    <xf numFmtId="3" fontId="2" fillId="0" borderId="0" xfId="0" applyNumberFormat="1" applyFont="1"/>
    <xf numFmtId="3" fontId="4" fillId="0" borderId="0" xfId="0" applyNumberFormat="1" applyFont="1"/>
    <xf numFmtId="20" fontId="2" fillId="8" borderId="0" xfId="0" quotePrefix="1" applyNumberFormat="1" applyFont="1" applyFill="1"/>
    <xf numFmtId="0" fontId="2" fillId="8" borderId="0" xfId="0" applyFont="1" applyFill="1"/>
    <xf numFmtId="0" fontId="2" fillId="0" borderId="0" xfId="1" applyFont="1" applyAlignment="1" applyProtection="1"/>
    <xf numFmtId="0" fontId="11" fillId="0" borderId="0" xfId="0" applyFont="1"/>
    <xf numFmtId="0" fontId="4" fillId="0" borderId="0" xfId="0" applyFont="1" applyAlignment="1"/>
    <xf numFmtId="0" fontId="0" fillId="0" borderId="0" xfId="0" applyFill="1" applyAlignment="1">
      <alignment vertical="top" wrapText="1"/>
    </xf>
    <xf numFmtId="165" fontId="2" fillId="0" borderId="0" xfId="0" applyNumberFormat="1" applyFont="1"/>
    <xf numFmtId="164" fontId="2" fillId="0" borderId="0" xfId="0" applyNumberFormat="1" applyFont="1"/>
    <xf numFmtId="0" fontId="2" fillId="4" borderId="0" xfId="2" applyFont="1" applyFill="1"/>
    <xf numFmtId="0" fontId="2" fillId="0" borderId="0" xfId="0" applyFont="1" applyAlignment="1">
      <alignment vertical="top" wrapText="1"/>
    </xf>
    <xf numFmtId="166" fontId="2" fillId="0" borderId="0" xfId="0" applyNumberFormat="1" applyFont="1"/>
    <xf numFmtId="3" fontId="2" fillId="5" borderId="0" xfId="0" applyNumberFormat="1" applyFont="1" applyFill="1" applyBorder="1" applyProtection="1"/>
    <xf numFmtId="3" fontId="13" fillId="5" borderId="0" xfId="0" applyNumberFormat="1" applyFont="1" applyFill="1" applyBorder="1" applyProtection="1"/>
    <xf numFmtId="3" fontId="3" fillId="5" borderId="0" xfId="0" applyNumberFormat="1" applyFont="1" applyFill="1"/>
    <xf numFmtId="0" fontId="3" fillId="5" borderId="0" xfId="0" applyFont="1" applyFill="1"/>
    <xf numFmtId="3" fontId="14" fillId="9" borderId="0" xfId="0" applyNumberFormat="1" applyFont="1" applyFill="1"/>
    <xf numFmtId="167" fontId="2" fillId="5" borderId="0" xfId="0" applyNumberFormat="1" applyFont="1" applyFill="1"/>
    <xf numFmtId="3" fontId="2" fillId="9" borderId="0" xfId="0" applyNumberFormat="1" applyFont="1" applyFill="1"/>
    <xf numFmtId="3" fontId="2" fillId="0" borderId="0" xfId="0" quotePrefix="1" applyNumberFormat="1" applyFont="1" applyBorder="1" applyAlignment="1" applyProtection="1">
      <alignment horizontal="right"/>
      <protection locked="0"/>
    </xf>
    <xf numFmtId="0" fontId="11" fillId="0" borderId="0" xfId="0" applyFont="1" applyFill="1"/>
    <xf numFmtId="4" fontId="2" fillId="0" borderId="0" xfId="0" applyNumberFormat="1" applyFont="1"/>
    <xf numFmtId="0" fontId="5" fillId="0" borderId="0" xfId="1" applyFont="1" applyAlignment="1" applyProtection="1"/>
    <xf numFmtId="0" fontId="2" fillId="0" borderId="0" xfId="0" applyFont="1" applyAlignment="1">
      <alignment wrapText="1"/>
    </xf>
    <xf numFmtId="10" fontId="2" fillId="0" borderId="0" xfId="0" applyNumberFormat="1" applyFont="1"/>
    <xf numFmtId="0" fontId="2" fillId="4" borderId="0" xfId="0" applyFont="1" applyFill="1" applyAlignment="1">
      <alignment horizontal="left"/>
    </xf>
    <xf numFmtId="168" fontId="2" fillId="5" borderId="0" xfId="0" applyNumberFormat="1" applyFont="1" applyFill="1"/>
    <xf numFmtId="0" fontId="2" fillId="0" borderId="0" xfId="0" applyFont="1" applyAlignment="1">
      <alignment horizontal="right"/>
    </xf>
    <xf numFmtId="16" fontId="2" fillId="0" borderId="0" xfId="0" applyNumberFormat="1" applyFont="1" applyAlignment="1">
      <alignment horizontal="right"/>
    </xf>
    <xf numFmtId="0" fontId="2" fillId="10" borderId="0" xfId="0" applyFont="1" applyFill="1"/>
    <xf numFmtId="0" fontId="11" fillId="9" borderId="0" xfId="0" applyFont="1" applyFill="1"/>
    <xf numFmtId="0" fontId="2" fillId="9" borderId="0" xfId="0" applyFont="1" applyFill="1"/>
    <xf numFmtId="1" fontId="2" fillId="0" borderId="0" xfId="0" applyNumberFormat="1" applyFont="1"/>
    <xf numFmtId="0" fontId="3" fillId="0" borderId="0" xfId="0" applyFont="1"/>
    <xf numFmtId="2" fontId="2" fillId="0" borderId="0" xfId="0" applyNumberFormat="1" applyFont="1"/>
    <xf numFmtId="0" fontId="5" fillId="0" borderId="0" xfId="1" applyFont="1" applyFill="1" applyAlignment="1" applyProtection="1"/>
    <xf numFmtId="0" fontId="20" fillId="0" borderId="0" xfId="0" applyFont="1" applyFill="1"/>
    <xf numFmtId="0" fontId="2" fillId="11" borderId="0" xfId="0" applyFont="1" applyFill="1"/>
    <xf numFmtId="0" fontId="2" fillId="7" borderId="0" xfId="0" applyFont="1" applyFill="1"/>
    <xf numFmtId="0" fontId="5" fillId="12" borderId="0" xfId="1" applyFont="1" applyFill="1" applyAlignment="1" applyProtection="1"/>
    <xf numFmtId="0" fontId="2" fillId="12" borderId="0" xfId="0" applyFont="1" applyFill="1"/>
    <xf numFmtId="0" fontId="20" fillId="0" borderId="0" xfId="0" applyFont="1" applyFill="1" applyAlignment="1"/>
    <xf numFmtId="0" fontId="0" fillId="0" borderId="0" xfId="0" applyFill="1" applyAlignment="1"/>
    <xf numFmtId="3" fontId="3" fillId="5" borderId="2" xfId="0" applyNumberFormat="1" applyFont="1" applyFill="1" applyBorder="1"/>
    <xf numFmtId="3" fontId="2" fillId="5" borderId="0" xfId="0" applyNumberFormat="1" applyFont="1" applyFill="1" applyBorder="1"/>
    <xf numFmtId="3" fontId="2" fillId="5" borderId="2" xfId="0" applyNumberFormat="1" applyFont="1" applyFill="1" applyBorder="1"/>
    <xf numFmtId="0" fontId="2" fillId="0" borderId="0" xfId="0" applyFont="1" applyFill="1" applyAlignment="1">
      <alignment vertical="top" wrapText="1"/>
    </xf>
    <xf numFmtId="0" fontId="2" fillId="0" borderId="0" xfId="0" applyFont="1" applyAlignment="1">
      <alignment vertical="top"/>
    </xf>
    <xf numFmtId="3" fontId="2" fillId="0" borderId="0" xfId="0" applyNumberFormat="1" applyFont="1" applyFill="1" applyAlignment="1">
      <alignment horizontal="left"/>
    </xf>
    <xf numFmtId="2" fontId="2" fillId="0" borderId="0" xfId="0" applyNumberFormat="1" applyFont="1" applyFill="1" applyAlignment="1">
      <alignment horizontal="left"/>
    </xf>
    <xf numFmtId="4" fontId="2" fillId="0" borderId="0" xfId="0" applyNumberFormat="1" applyFont="1" applyFill="1" applyAlignment="1">
      <alignment horizontal="left"/>
    </xf>
    <xf numFmtId="0" fontId="2" fillId="0" borderId="0" xfId="0" applyFont="1" applyFill="1" applyAlignment="1">
      <alignment horizontal="left"/>
    </xf>
    <xf numFmtId="0" fontId="2" fillId="0" borderId="0" xfId="0" applyFont="1" applyFill="1" applyAlignment="1">
      <alignment horizontal="right"/>
    </xf>
    <xf numFmtId="0" fontId="2" fillId="4" borderId="0" xfId="0" applyFont="1" applyFill="1" applyAlignment="1">
      <alignment horizontal="right"/>
    </xf>
    <xf numFmtId="0" fontId="2" fillId="5" borderId="0" xfId="0" applyFont="1" applyFill="1" applyAlignment="1">
      <alignment horizontal="right"/>
    </xf>
    <xf numFmtId="169" fontId="2" fillId="5" borderId="0" xfId="0" applyNumberFormat="1" applyFont="1" applyFill="1"/>
    <xf numFmtId="0" fontId="2" fillId="6" borderId="0" xfId="0" applyFont="1" applyFill="1" applyAlignment="1">
      <alignment horizontal="right"/>
    </xf>
    <xf numFmtId="43" fontId="2" fillId="6" borderId="0" xfId="0" applyNumberFormat="1" applyFont="1" applyFill="1"/>
    <xf numFmtId="3" fontId="2" fillId="6" borderId="0" xfId="0" applyNumberFormat="1" applyFont="1" applyFill="1"/>
    <xf numFmtId="0" fontId="2" fillId="5" borderId="0" xfId="0" applyFont="1" applyFill="1" applyBorder="1"/>
    <xf numFmtId="0" fontId="2" fillId="4" borderId="0" xfId="0" applyFont="1" applyFill="1" applyBorder="1"/>
    <xf numFmtId="43" fontId="2" fillId="4" borderId="0" xfId="0" applyNumberFormat="1" applyFont="1" applyFill="1"/>
    <xf numFmtId="168" fontId="2" fillId="5" borderId="0" xfId="0" applyNumberFormat="1" applyFont="1" applyFill="1" applyAlignment="1"/>
    <xf numFmtId="168" fontId="2" fillId="5" borderId="0" xfId="0" applyNumberFormat="1" applyFont="1" applyFill="1" applyBorder="1"/>
    <xf numFmtId="3" fontId="2" fillId="5" borderId="0" xfId="0" applyNumberFormat="1" applyFont="1" applyFill="1" applyAlignment="1">
      <alignment horizontal="right"/>
    </xf>
    <xf numFmtId="3" fontId="2" fillId="5" borderId="0" xfId="0" applyNumberFormat="1" applyFont="1" applyFill="1" applyAlignment="1"/>
    <xf numFmtId="3" fontId="2" fillId="5" borderId="0" xfId="0" applyNumberFormat="1" applyFont="1" applyFill="1" applyBorder="1" applyAlignment="1">
      <alignment horizontal="right" wrapText="1"/>
    </xf>
    <xf numFmtId="168" fontId="2" fillId="5" borderId="0" xfId="0" applyNumberFormat="1" applyFont="1" applyFill="1" applyBorder="1" applyAlignment="1">
      <alignment horizontal="right" wrapText="1"/>
    </xf>
    <xf numFmtId="42" fontId="0" fillId="0" borderId="0" xfId="0" applyNumberFormat="1"/>
    <xf numFmtId="170" fontId="2" fillId="0" borderId="0" xfId="0" applyNumberFormat="1" applyFont="1"/>
    <xf numFmtId="0" fontId="2" fillId="0" borderId="0" xfId="0" applyFont="1" applyFill="1" applyAlignment="1">
      <alignment wrapText="1"/>
    </xf>
    <xf numFmtId="0" fontId="6" fillId="0" borderId="0" xfId="0" applyFont="1" applyFill="1" applyAlignment="1">
      <alignment vertical="top" wrapText="1"/>
    </xf>
    <xf numFmtId="0" fontId="4" fillId="0" borderId="0" xfId="0" applyFont="1" applyFill="1" applyAlignment="1">
      <alignment vertical="top" wrapText="1"/>
    </xf>
    <xf numFmtId="0" fontId="3" fillId="3" borderId="0" xfId="0" applyFont="1" applyFill="1" applyAlignment="1">
      <alignment horizontal="center"/>
    </xf>
    <xf numFmtId="0" fontId="4" fillId="0" borderId="0" xfId="0" applyFont="1" applyAlignment="1">
      <alignment vertical="top" wrapText="1"/>
    </xf>
    <xf numFmtId="0" fontId="0" fillId="0" borderId="0" xfId="0" applyAlignment="1">
      <alignment vertical="top"/>
    </xf>
    <xf numFmtId="0" fontId="4" fillId="0" borderId="0" xfId="0" applyFont="1" applyFill="1" applyAlignment="1">
      <alignment wrapText="1"/>
    </xf>
    <xf numFmtId="0" fontId="0" fillId="0" borderId="0" xfId="0" applyFill="1" applyAlignment="1">
      <alignment wrapText="1"/>
    </xf>
    <xf numFmtId="0" fontId="8" fillId="3" borderId="0" xfId="0" applyFont="1" applyFill="1" applyAlignment="1">
      <alignment horizontal="center"/>
    </xf>
    <xf numFmtId="0" fontId="2" fillId="0" borderId="0" xfId="0" applyFont="1" applyFill="1" applyAlignment="1">
      <alignment wrapText="1"/>
    </xf>
    <xf numFmtId="0" fontId="3" fillId="0" borderId="0" xfId="0" applyFont="1" applyAlignment="1">
      <alignment vertical="top" wrapText="1"/>
    </xf>
    <xf numFmtId="0" fontId="2" fillId="0" borderId="0" xfId="0" applyFont="1" applyAlignment="1">
      <alignment vertical="top" wrapText="1"/>
    </xf>
    <xf numFmtId="0" fontId="4" fillId="0" borderId="0" xfId="0" applyFont="1" applyAlignment="1">
      <alignment vertical="justify"/>
    </xf>
    <xf numFmtId="0" fontId="0" fillId="0" borderId="0" xfId="0" applyFill="1" applyAlignment="1">
      <alignment vertical="top" wrapText="1"/>
    </xf>
    <xf numFmtId="0" fontId="2" fillId="0" borderId="0" xfId="0" applyFont="1" applyAlignment="1">
      <alignment vertical="top"/>
    </xf>
    <xf numFmtId="0" fontId="2" fillId="0" borderId="0" xfId="0" applyFont="1" applyFill="1" applyAlignment="1">
      <alignment vertical="top" wrapText="1"/>
    </xf>
    <xf numFmtId="0" fontId="17" fillId="0" borderId="0" xfId="0" applyFont="1" applyFill="1" applyAlignment="1">
      <alignment vertical="top" wrapText="1"/>
    </xf>
    <xf numFmtId="0" fontId="2" fillId="0" borderId="0" xfId="0" applyFont="1" applyFill="1" applyAlignment="1"/>
    <xf numFmtId="0" fontId="20" fillId="0" borderId="0" xfId="0" applyFont="1" applyFill="1" applyAlignment="1"/>
    <xf numFmtId="0" fontId="3" fillId="3" borderId="0" xfId="0" applyFont="1" applyFill="1" applyAlignment="1"/>
    <xf numFmtId="0" fontId="0" fillId="3" borderId="0" xfId="0" applyFill="1" applyAlignment="1"/>
    <xf numFmtId="0" fontId="0" fillId="0" borderId="0" xfId="0" applyAlignment="1"/>
    <xf numFmtId="0" fontId="2" fillId="5" borderId="0" xfId="0" applyFont="1" applyFill="1" applyAlignment="1">
      <alignment vertical="top" wrapText="1"/>
    </xf>
    <xf numFmtId="0" fontId="0" fillId="3" borderId="0" xfId="0" applyFill="1" applyAlignment="1">
      <alignment horizontal="center"/>
    </xf>
    <xf numFmtId="0" fontId="2" fillId="13" borderId="0" xfId="0" applyFont="1" applyFill="1" applyAlignment="1">
      <alignment wrapText="1"/>
    </xf>
    <xf numFmtId="0" fontId="2" fillId="0" borderId="0" xfId="0" applyFont="1" applyAlignment="1">
      <alignment wrapText="1"/>
    </xf>
    <xf numFmtId="0" fontId="21" fillId="0" borderId="0" xfId="1" applyFont="1" applyFill="1" applyAlignment="1" applyProtection="1">
      <alignment wrapText="1"/>
    </xf>
  </cellXfs>
  <cellStyles count="8">
    <cellStyle name="Comma 2" xfId="3"/>
    <cellStyle name="Hyperlink" xfId="1" builtinId="8"/>
    <cellStyle name="Hyperlink 2" xfId="4"/>
    <cellStyle name="Normal" xfId="0" builtinId="0"/>
    <cellStyle name="Normal 2" xfId="5"/>
    <cellStyle name="Normal 2 2" xfId="6"/>
    <cellStyle name="Normal 3" xfId="2"/>
    <cellStyle name="Normal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43.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44.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45.xml"/></Relationships>
</file>

<file path=xl/charts/_rels/chart46.xml.rels><?xml version="1.0" encoding="UTF-8" standalone="yes"?>
<Relationships xmlns="http://schemas.openxmlformats.org/package/2006/relationships"><Relationship Id="rId1" Type="http://schemas.openxmlformats.org/officeDocument/2006/relationships/themeOverride" Target="../theme/themeOverride46.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Hours of Household</a:t>
            </a:r>
            <a:r>
              <a:rPr lang="en-US" baseline="0"/>
              <a:t> Labor per person</a:t>
            </a:r>
            <a:endParaRPr lang="en-US"/>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ValueofHousework!$C$2:$BD$2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ValueofHousework!$C$4:$BD$4</c:f>
              <c:numCache>
                <c:formatCode>#,##0</c:formatCode>
                <c:ptCount val="54"/>
                <c:pt idx="0">
                  <c:v>1698.0321428571431</c:v>
                </c:pt>
                <c:pt idx="1">
                  <c:v>1672.43</c:v>
                </c:pt>
                <c:pt idx="2">
                  <c:v>1646.8278571428575</c:v>
                </c:pt>
                <c:pt idx="3">
                  <c:v>1621.2257142857147</c:v>
                </c:pt>
                <c:pt idx="4">
                  <c:v>1595.6235714285719</c:v>
                </c:pt>
                <c:pt idx="5">
                  <c:v>1570.0214285714292</c:v>
                </c:pt>
                <c:pt idx="6">
                  <c:v>1544.4192857142866</c:v>
                </c:pt>
                <c:pt idx="7">
                  <c:v>1518.8171428571438</c:v>
                </c:pt>
                <c:pt idx="8">
                  <c:v>1493.2149999999999</c:v>
                </c:pt>
                <c:pt idx="9">
                  <c:v>1467.6128571428583</c:v>
                </c:pt>
                <c:pt idx="10">
                  <c:v>1442.0107142857155</c:v>
                </c:pt>
                <c:pt idx="11">
                  <c:v>1416.4085714285727</c:v>
                </c:pt>
                <c:pt idx="12">
                  <c:v>1390.8064285714297</c:v>
                </c:pt>
                <c:pt idx="13">
                  <c:v>1365.2042857142869</c:v>
                </c:pt>
                <c:pt idx="14">
                  <c:v>1339.6021428571439</c:v>
                </c:pt>
                <c:pt idx="15">
                  <c:v>1314</c:v>
                </c:pt>
                <c:pt idx="16">
                  <c:v>1311.9722222222233</c:v>
                </c:pt>
                <c:pt idx="17">
                  <c:v>1309.9444444444455</c:v>
                </c:pt>
                <c:pt idx="18">
                  <c:v>1307.9166666666677</c:v>
                </c:pt>
                <c:pt idx="19">
                  <c:v>1305.8888888888898</c:v>
                </c:pt>
                <c:pt idx="20">
                  <c:v>1303.8611111111122</c:v>
                </c:pt>
                <c:pt idx="21">
                  <c:v>1301.8333333333344</c:v>
                </c:pt>
                <c:pt idx="22">
                  <c:v>1299.8055555555566</c:v>
                </c:pt>
                <c:pt idx="23">
                  <c:v>1297.7777777777787</c:v>
                </c:pt>
                <c:pt idx="24">
                  <c:v>1295.75</c:v>
                </c:pt>
                <c:pt idx="25">
                  <c:v>1293.7222222222233</c:v>
                </c:pt>
                <c:pt idx="26">
                  <c:v>1291.6944444444455</c:v>
                </c:pt>
                <c:pt idx="27">
                  <c:v>1289.6666666666677</c:v>
                </c:pt>
                <c:pt idx="28">
                  <c:v>1287.6388888888901</c:v>
                </c:pt>
                <c:pt idx="29">
                  <c:v>1285.6111111111122</c:v>
                </c:pt>
                <c:pt idx="30">
                  <c:v>1283.5833333333344</c:v>
                </c:pt>
                <c:pt idx="31">
                  <c:v>1251.95</c:v>
                </c:pt>
                <c:pt idx="32">
                  <c:v>1220.3166666666675</c:v>
                </c:pt>
                <c:pt idx="33">
                  <c:v>1188.6833333333343</c:v>
                </c:pt>
                <c:pt idx="34">
                  <c:v>1157.05</c:v>
                </c:pt>
                <c:pt idx="35">
                  <c:v>1125.4166666666674</c:v>
                </c:pt>
                <c:pt idx="36">
                  <c:v>1093.783333333334</c:v>
                </c:pt>
                <c:pt idx="37">
                  <c:v>1062.1500000000001</c:v>
                </c:pt>
                <c:pt idx="38">
                  <c:v>1030.5166666666671</c:v>
                </c:pt>
                <c:pt idx="39">
                  <c:v>998.88333333333367</c:v>
                </c:pt>
                <c:pt idx="40">
                  <c:v>967.25</c:v>
                </c:pt>
                <c:pt idx="41">
                  <c:v>935.6166666666669</c:v>
                </c:pt>
                <c:pt idx="42">
                  <c:v>903.98333333333346</c:v>
                </c:pt>
                <c:pt idx="43">
                  <c:v>872.35</c:v>
                </c:pt>
                <c:pt idx="44">
                  <c:v>865.05</c:v>
                </c:pt>
                <c:pt idx="45">
                  <c:v>865.05</c:v>
                </c:pt>
                <c:pt idx="46">
                  <c:v>846.8</c:v>
                </c:pt>
                <c:pt idx="47">
                  <c:v>865.05</c:v>
                </c:pt>
                <c:pt idx="48">
                  <c:v>824.9</c:v>
                </c:pt>
                <c:pt idx="49">
                  <c:v>854.1</c:v>
                </c:pt>
                <c:pt idx="50">
                  <c:v>839.49999999999989</c:v>
                </c:pt>
                <c:pt idx="51">
                  <c:v>832.2</c:v>
                </c:pt>
                <c:pt idx="52">
                  <c:v>821.25</c:v>
                </c:pt>
                <c:pt idx="53">
                  <c:v>843.15</c:v>
                </c:pt>
              </c:numCache>
            </c:numRef>
          </c:val>
          <c:smooth val="0"/>
        </c:ser>
        <c:dLbls>
          <c:showLegendKey val="0"/>
          <c:showVal val="0"/>
          <c:showCatName val="0"/>
          <c:showSerName val="0"/>
          <c:showPercent val="0"/>
          <c:showBubbleSize val="0"/>
        </c:dLbls>
        <c:marker val="1"/>
        <c:smooth val="0"/>
        <c:axId val="47651840"/>
        <c:axId val="47871488"/>
      </c:lineChart>
      <c:catAx>
        <c:axId val="476518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7871488"/>
        <c:crosses val="autoZero"/>
        <c:auto val="1"/>
        <c:lblAlgn val="ctr"/>
        <c:lblOffset val="100"/>
        <c:tickLblSkip val="3"/>
        <c:noMultiLvlLbl val="0"/>
      </c:catAx>
      <c:valAx>
        <c:axId val="47871488"/>
        <c:scaling>
          <c:orientation val="minMax"/>
        </c:scaling>
        <c:delete val="0"/>
        <c:axPos val="l"/>
        <c:majorGridlines/>
        <c:title>
          <c:tx>
            <c:rich>
              <a:bodyPr/>
              <a:lstStyle/>
              <a:p>
                <a:pPr>
                  <a:defRPr/>
                </a:pPr>
                <a:r>
                  <a:rPr lang="en-US"/>
                  <a:t>hours per year</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651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Total Children in Maryland</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CostofFamilyChange!$C$2:$BD$2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CostofFamilyChange!$C$9:$BD$9</c:f>
              <c:numCache>
                <c:formatCode>#,##0.00</c:formatCode>
                <c:ptCount val="54"/>
                <c:pt idx="0">
                  <c:v>449767</c:v>
                </c:pt>
                <c:pt idx="1">
                  <c:v>460579.5</c:v>
                </c:pt>
                <c:pt idx="2">
                  <c:v>471392</c:v>
                </c:pt>
                <c:pt idx="3">
                  <c:v>482204.5</c:v>
                </c:pt>
                <c:pt idx="4">
                  <c:v>493017</c:v>
                </c:pt>
                <c:pt idx="5">
                  <c:v>503829.5</c:v>
                </c:pt>
                <c:pt idx="6">
                  <c:v>514642</c:v>
                </c:pt>
                <c:pt idx="7">
                  <c:v>525454.5</c:v>
                </c:pt>
                <c:pt idx="8">
                  <c:v>536267</c:v>
                </c:pt>
                <c:pt idx="9">
                  <c:v>547079.5</c:v>
                </c:pt>
                <c:pt idx="10">
                  <c:v>557892</c:v>
                </c:pt>
                <c:pt idx="11">
                  <c:v>559348</c:v>
                </c:pt>
                <c:pt idx="12">
                  <c:v>560804</c:v>
                </c:pt>
                <c:pt idx="13">
                  <c:v>562260</c:v>
                </c:pt>
                <c:pt idx="14">
                  <c:v>563716</c:v>
                </c:pt>
                <c:pt idx="15">
                  <c:v>565172</c:v>
                </c:pt>
                <c:pt idx="16">
                  <c:v>566628</c:v>
                </c:pt>
                <c:pt idx="17">
                  <c:v>568084</c:v>
                </c:pt>
                <c:pt idx="18">
                  <c:v>569540</c:v>
                </c:pt>
                <c:pt idx="19">
                  <c:v>570996</c:v>
                </c:pt>
                <c:pt idx="20">
                  <c:v>573908</c:v>
                </c:pt>
                <c:pt idx="21">
                  <c:v>574998.81817999994</c:v>
                </c:pt>
                <c:pt idx="22">
                  <c:v>576089.63617999991</c:v>
                </c:pt>
                <c:pt idx="23">
                  <c:v>577180.45418</c:v>
                </c:pt>
                <c:pt idx="24">
                  <c:v>578271.27217999997</c:v>
                </c:pt>
                <c:pt idx="25">
                  <c:v>579362.09017999994</c:v>
                </c:pt>
                <c:pt idx="26">
                  <c:v>580452.90817999991</c:v>
                </c:pt>
                <c:pt idx="27">
                  <c:v>581543.72618</c:v>
                </c:pt>
                <c:pt idx="28">
                  <c:v>582634.54417999997</c:v>
                </c:pt>
                <c:pt idx="29">
                  <c:v>583725.36217999994</c:v>
                </c:pt>
                <c:pt idx="30">
                  <c:v>585907</c:v>
                </c:pt>
                <c:pt idx="31">
                  <c:v>592840.18099999998</c:v>
                </c:pt>
                <c:pt idx="32">
                  <c:v>599773.36399999994</c:v>
                </c:pt>
                <c:pt idx="33">
                  <c:v>606706.54500000004</c:v>
                </c:pt>
                <c:pt idx="34">
                  <c:v>613639.72699999996</c:v>
                </c:pt>
                <c:pt idx="35">
                  <c:v>620572.90899999999</c:v>
                </c:pt>
                <c:pt idx="36">
                  <c:v>627506.09100000001</c:v>
                </c:pt>
                <c:pt idx="37">
                  <c:v>634439.27300000004</c:v>
                </c:pt>
                <c:pt idx="38">
                  <c:v>641372.45499999996</c:v>
                </c:pt>
                <c:pt idx="39">
                  <c:v>648305.63600000006</c:v>
                </c:pt>
                <c:pt idx="40">
                  <c:v>662172</c:v>
                </c:pt>
                <c:pt idx="41">
                  <c:v>668661.38739431207</c:v>
                </c:pt>
                <c:pt idx="42">
                  <c:v>692074.07916986931</c:v>
                </c:pt>
                <c:pt idx="43">
                  <c:v>699199.68101460417</c:v>
                </c:pt>
                <c:pt idx="44">
                  <c:v>704798.36817832431</c:v>
                </c:pt>
                <c:pt idx="45">
                  <c:v>709506.35511145263</c:v>
                </c:pt>
                <c:pt idx="46">
                  <c:v>712814.67025365098</c:v>
                </c:pt>
                <c:pt idx="47">
                  <c:v>714977.79938508838</c:v>
                </c:pt>
                <c:pt idx="48">
                  <c:v>716886.44273635664</c:v>
                </c:pt>
                <c:pt idx="49">
                  <c:v>718795.08608762489</c:v>
                </c:pt>
                <c:pt idx="50">
                  <c:v>651236.12199999997</c:v>
                </c:pt>
                <c:pt idx="51">
                  <c:v>651771.41466666665</c:v>
                </c:pt>
                <c:pt idx="52">
                  <c:v>652306.70733333332</c:v>
                </c:pt>
                <c:pt idx="53">
                  <c:v>652842</c:v>
                </c:pt>
              </c:numCache>
            </c:numRef>
          </c:val>
          <c:smooth val="0"/>
        </c:ser>
        <c:dLbls>
          <c:showLegendKey val="0"/>
          <c:showVal val="0"/>
          <c:showCatName val="0"/>
          <c:showSerName val="0"/>
          <c:showPercent val="0"/>
          <c:showBubbleSize val="0"/>
        </c:dLbls>
        <c:marker val="1"/>
        <c:smooth val="0"/>
        <c:axId val="44744064"/>
        <c:axId val="44770816"/>
      </c:lineChart>
      <c:catAx>
        <c:axId val="447440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770816"/>
        <c:crosses val="autoZero"/>
        <c:auto val="1"/>
        <c:lblAlgn val="ctr"/>
        <c:lblOffset val="100"/>
        <c:tickLblSkip val="3"/>
        <c:noMultiLvlLbl val="0"/>
      </c:catAx>
      <c:valAx>
        <c:axId val="44770816"/>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744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Total Number of Hours of Television Watching in Maryland per Year</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CostofFamilyChange!$C$2:$BD$2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CostofFamilyChange!$C$10:$BD$10</c:f>
              <c:numCache>
                <c:formatCode>#,##0</c:formatCode>
                <c:ptCount val="54"/>
                <c:pt idx="0">
                  <c:v>825749723.64999998</c:v>
                </c:pt>
                <c:pt idx="1">
                  <c:v>860730969.60000014</c:v>
                </c:pt>
                <c:pt idx="2">
                  <c:v>896422596.80000019</c:v>
                </c:pt>
                <c:pt idx="3">
                  <c:v>932824605.25000012</c:v>
                </c:pt>
                <c:pt idx="4">
                  <c:v>969936994.95000005</c:v>
                </c:pt>
                <c:pt idx="5">
                  <c:v>1007759765.9</c:v>
                </c:pt>
                <c:pt idx="6">
                  <c:v>1046292918.1000001</c:v>
                </c:pt>
                <c:pt idx="7">
                  <c:v>1085536451.55</c:v>
                </c:pt>
                <c:pt idx="8">
                  <c:v>1125490366.25</c:v>
                </c:pt>
                <c:pt idx="9">
                  <c:v>1166154662.2</c:v>
                </c:pt>
                <c:pt idx="10">
                  <c:v>1207529339.3999999</c:v>
                </c:pt>
                <c:pt idx="11">
                  <c:v>1218438935.3600001</c:v>
                </c:pt>
                <c:pt idx="12">
                  <c:v>1229388920.76</c:v>
                </c:pt>
                <c:pt idx="13">
                  <c:v>1240379295.5999999</c:v>
                </c:pt>
                <c:pt idx="14">
                  <c:v>1251410059.8799999</c:v>
                </c:pt>
                <c:pt idx="15">
                  <c:v>1262481213.6000001</c:v>
                </c:pt>
                <c:pt idx="16">
                  <c:v>1285588271.52</c:v>
                </c:pt>
                <c:pt idx="17">
                  <c:v>1308797365.9200001</c:v>
                </c:pt>
                <c:pt idx="18">
                  <c:v>1332108496.8</c:v>
                </c:pt>
                <c:pt idx="19">
                  <c:v>1355521664.1600001</c:v>
                </c:pt>
                <c:pt idx="20">
                  <c:v>1382544372</c:v>
                </c:pt>
                <c:pt idx="21">
                  <c:v>1409097853.8200898</c:v>
                </c:pt>
                <c:pt idx="22">
                  <c:v>1435742113.0805194</c:v>
                </c:pt>
                <c:pt idx="23">
                  <c:v>1462477150.2149093</c:v>
                </c:pt>
                <c:pt idx="24">
                  <c:v>1489302965.2232592</c:v>
                </c:pt>
                <c:pt idx="25">
                  <c:v>1516219558.1055689</c:v>
                </c:pt>
                <c:pt idx="26">
                  <c:v>1506786095.2862983</c:v>
                </c:pt>
                <c:pt idx="27">
                  <c:v>1497306447.2329078</c:v>
                </c:pt>
                <c:pt idx="28">
                  <c:v>1487780613.9453971</c:v>
                </c:pt>
                <c:pt idx="29">
                  <c:v>1478208595.4237664</c:v>
                </c:pt>
                <c:pt idx="30">
                  <c:v>1471329658.3999999</c:v>
                </c:pt>
                <c:pt idx="31">
                  <c:v>1506051195.8124001</c:v>
                </c:pt>
                <c:pt idx="32">
                  <c:v>1541177636.1343999</c:v>
                </c:pt>
                <c:pt idx="33">
                  <c:v>1576708969.1460001</c:v>
                </c:pt>
                <c:pt idx="34">
                  <c:v>1612645202.556</c:v>
                </c:pt>
                <c:pt idx="35">
                  <c:v>1648986333.7948</c:v>
                </c:pt>
                <c:pt idx="36">
                  <c:v>1644505212.6836998</c:v>
                </c:pt>
                <c:pt idx="37">
                  <c:v>1667306409.444</c:v>
                </c:pt>
                <c:pt idx="38">
                  <c:v>1715959934.7297497</c:v>
                </c:pt>
                <c:pt idx="39">
                  <c:v>1762905100.6930001</c:v>
                </c:pt>
                <c:pt idx="40">
                  <c:v>1832031272.3999999</c:v>
                </c:pt>
                <c:pt idx="41">
                  <c:v>1875885256.950897</c:v>
                </c:pt>
                <c:pt idx="42">
                  <c:v>1968749966.0003257</c:v>
                </c:pt>
                <c:pt idx="43">
                  <c:v>2016866519.2234228</c:v>
                </c:pt>
                <c:pt idx="44">
                  <c:v>2061478358.7039559</c:v>
                </c:pt>
                <c:pt idx="45">
                  <c:v>2104302324.3775272</c:v>
                </c:pt>
                <c:pt idx="46">
                  <c:v>2143711951.9116192</c:v>
                </c:pt>
                <c:pt idx="47">
                  <c:v>2180320368.1186128</c:v>
                </c:pt>
                <c:pt idx="48">
                  <c:v>2216746734.8880563</c:v>
                </c:pt>
                <c:pt idx="49">
                  <c:v>2253336072.7474823</c:v>
                </c:pt>
                <c:pt idx="50">
                  <c:v>2069350019.7295566</c:v>
                </c:pt>
                <c:pt idx="51">
                  <c:v>2098876971.4641936</c:v>
                </c:pt>
                <c:pt idx="52">
                  <c:v>2128449629.6055768</c:v>
                </c:pt>
                <c:pt idx="53">
                  <c:v>2158067994.1537061</c:v>
                </c:pt>
              </c:numCache>
            </c:numRef>
          </c:val>
          <c:smooth val="0"/>
        </c:ser>
        <c:dLbls>
          <c:showLegendKey val="0"/>
          <c:showVal val="0"/>
          <c:showCatName val="0"/>
          <c:showSerName val="0"/>
          <c:showPercent val="0"/>
          <c:showBubbleSize val="0"/>
        </c:dLbls>
        <c:marker val="1"/>
        <c:smooth val="0"/>
        <c:axId val="44790528"/>
        <c:axId val="44792448"/>
      </c:lineChart>
      <c:catAx>
        <c:axId val="447905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792448"/>
        <c:crosses val="autoZero"/>
        <c:auto val="1"/>
        <c:lblAlgn val="ctr"/>
        <c:lblOffset val="100"/>
        <c:tickLblSkip val="3"/>
        <c:noMultiLvlLbl val="0"/>
      </c:catAx>
      <c:valAx>
        <c:axId val="44792448"/>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790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Total</a:t>
            </a:r>
            <a:r>
              <a:rPr lang="en-US" baseline="0"/>
              <a:t> Social Cost of Watching Television</a:t>
            </a:r>
            <a:endParaRPr lang="en-US"/>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CostofFamilyChange!$C$2:$BD$2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CostofFamilyChange!$C$11:$BD$11</c:f>
              <c:numCache>
                <c:formatCode>#,##0</c:formatCode>
                <c:ptCount val="54"/>
                <c:pt idx="0">
                  <c:v>445904850.77100003</c:v>
                </c:pt>
                <c:pt idx="1">
                  <c:v>464794723.58400011</c:v>
                </c:pt>
                <c:pt idx="2">
                  <c:v>484068202.27200013</c:v>
                </c:pt>
                <c:pt idx="3">
                  <c:v>503725286.8350001</c:v>
                </c:pt>
                <c:pt idx="4">
                  <c:v>523765977.27300006</c:v>
                </c:pt>
                <c:pt idx="5">
                  <c:v>544190273.58599997</c:v>
                </c:pt>
                <c:pt idx="6">
                  <c:v>564998175.77400017</c:v>
                </c:pt>
                <c:pt idx="7">
                  <c:v>586189683.83700001</c:v>
                </c:pt>
                <c:pt idx="8">
                  <c:v>607764797.7750001</c:v>
                </c:pt>
                <c:pt idx="9">
                  <c:v>629723517.58800006</c:v>
                </c:pt>
                <c:pt idx="10">
                  <c:v>652065843.27600002</c:v>
                </c:pt>
                <c:pt idx="11">
                  <c:v>657957025.09440017</c:v>
                </c:pt>
                <c:pt idx="12">
                  <c:v>663870017.21039999</c:v>
                </c:pt>
                <c:pt idx="13">
                  <c:v>669804819.62399995</c:v>
                </c:pt>
                <c:pt idx="14">
                  <c:v>675761432.33519995</c:v>
                </c:pt>
                <c:pt idx="15">
                  <c:v>681739855.3440001</c:v>
                </c:pt>
                <c:pt idx="16">
                  <c:v>694217666.62080002</c:v>
                </c:pt>
                <c:pt idx="17">
                  <c:v>706750577.59680009</c:v>
                </c:pt>
                <c:pt idx="18">
                  <c:v>719338588.27200007</c:v>
                </c:pt>
                <c:pt idx="19">
                  <c:v>731981698.64640009</c:v>
                </c:pt>
                <c:pt idx="20">
                  <c:v>746573960.88</c:v>
                </c:pt>
                <c:pt idx="21">
                  <c:v>760912841.06284857</c:v>
                </c:pt>
                <c:pt idx="22">
                  <c:v>775300741.0634805</c:v>
                </c:pt>
                <c:pt idx="23">
                  <c:v>789737661.11605108</c:v>
                </c:pt>
                <c:pt idx="24">
                  <c:v>804223601.22056007</c:v>
                </c:pt>
                <c:pt idx="25">
                  <c:v>818758561.37700725</c:v>
                </c:pt>
                <c:pt idx="26">
                  <c:v>813664491.45460117</c:v>
                </c:pt>
                <c:pt idx="27">
                  <c:v>808545481.50577021</c:v>
                </c:pt>
                <c:pt idx="28">
                  <c:v>803401531.53051448</c:v>
                </c:pt>
                <c:pt idx="29">
                  <c:v>798232641.52883387</c:v>
                </c:pt>
                <c:pt idx="30">
                  <c:v>794518015.53600001</c:v>
                </c:pt>
                <c:pt idx="31">
                  <c:v>813267645.7386961</c:v>
                </c:pt>
                <c:pt idx="32">
                  <c:v>832235923.51257598</c:v>
                </c:pt>
                <c:pt idx="33">
                  <c:v>851422843.33884013</c:v>
                </c:pt>
                <c:pt idx="34">
                  <c:v>870828409.38024008</c:v>
                </c:pt>
                <c:pt idx="35">
                  <c:v>890452620.24919212</c:v>
                </c:pt>
                <c:pt idx="36">
                  <c:v>888032814.84919798</c:v>
                </c:pt>
                <c:pt idx="37">
                  <c:v>900345461.09976006</c:v>
                </c:pt>
                <c:pt idx="38">
                  <c:v>926618364.75406492</c:v>
                </c:pt>
                <c:pt idx="39">
                  <c:v>951968754.37422013</c:v>
                </c:pt>
                <c:pt idx="40">
                  <c:v>989296887.09599996</c:v>
                </c:pt>
                <c:pt idx="41">
                  <c:v>1012978038.7534845</c:v>
                </c:pt>
                <c:pt idx="42">
                  <c:v>1063124981.6401759</c:v>
                </c:pt>
                <c:pt idx="43">
                  <c:v>1089107920.3806484</c:v>
                </c:pt>
                <c:pt idx="44">
                  <c:v>1113198313.7001362</c:v>
                </c:pt>
                <c:pt idx="45">
                  <c:v>1136323255.1638649</c:v>
                </c:pt>
                <c:pt idx="46">
                  <c:v>1157604454.0322745</c:v>
                </c:pt>
                <c:pt idx="47">
                  <c:v>1177372998.7840509</c:v>
                </c:pt>
                <c:pt idx="48">
                  <c:v>1197043236.8395505</c:v>
                </c:pt>
                <c:pt idx="49">
                  <c:v>1216801479.2836406</c:v>
                </c:pt>
                <c:pt idx="50">
                  <c:v>1117449010.6539607</c:v>
                </c:pt>
                <c:pt idx="51">
                  <c:v>1133393564.5906646</c:v>
                </c:pt>
                <c:pt idx="52">
                  <c:v>1149362799.9870114</c:v>
                </c:pt>
                <c:pt idx="53">
                  <c:v>1165356716.8430014</c:v>
                </c:pt>
              </c:numCache>
            </c:numRef>
          </c:val>
          <c:smooth val="0"/>
        </c:ser>
        <c:dLbls>
          <c:showLegendKey val="0"/>
          <c:showVal val="0"/>
          <c:showCatName val="0"/>
          <c:showSerName val="0"/>
          <c:showPercent val="0"/>
          <c:showBubbleSize val="0"/>
        </c:dLbls>
        <c:marker val="1"/>
        <c:smooth val="0"/>
        <c:axId val="44812160"/>
        <c:axId val="44822528"/>
      </c:lineChart>
      <c:catAx>
        <c:axId val="4481216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822528"/>
        <c:crosses val="autoZero"/>
        <c:auto val="1"/>
        <c:lblAlgn val="ctr"/>
        <c:lblOffset val="100"/>
        <c:tickLblSkip val="3"/>
        <c:noMultiLvlLbl val="0"/>
      </c:catAx>
      <c:valAx>
        <c:axId val="44822528"/>
        <c:scaling>
          <c:orientation val="minMax"/>
        </c:scaling>
        <c:delete val="0"/>
        <c:axPos val="l"/>
        <c:majorGridlines/>
        <c:title>
          <c:tx>
            <c:rich>
              <a:bodyPr/>
              <a:lstStyle/>
              <a:p>
                <a:pPr>
                  <a:defRPr/>
                </a:pPr>
                <a:r>
                  <a:rPr lang="en-US"/>
                  <a:t>$</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812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Crime</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CostCrime!$C$2:$BD$2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CostCrime!$C$3:$BD$3</c:f>
              <c:numCache>
                <c:formatCode>0.000000</c:formatCode>
                <c:ptCount val="54"/>
                <c:pt idx="0">
                  <c:v>0.49370659737</c:v>
                </c:pt>
                <c:pt idx="1">
                  <c:v>0.44771443269</c:v>
                </c:pt>
                <c:pt idx="2">
                  <c:v>0.54088091035999997</c:v>
                </c:pt>
                <c:pt idx="3">
                  <c:v>0.61375580854</c:v>
                </c:pt>
                <c:pt idx="4">
                  <c:v>0.69867003291999996</c:v>
                </c:pt>
                <c:pt idx="5">
                  <c:v>0.76423364018000006</c:v>
                </c:pt>
                <c:pt idx="6">
                  <c:v>0.84922244153999993</c:v>
                </c:pt>
                <c:pt idx="7">
                  <c:v>1.0341479445699999</c:v>
                </c:pt>
                <c:pt idx="8">
                  <c:v>1.27688479512</c:v>
                </c:pt>
                <c:pt idx="9">
                  <c:v>1.2867459641799999</c:v>
                </c:pt>
                <c:pt idx="10">
                  <c:v>1.2947000215</c:v>
                </c:pt>
                <c:pt idx="11">
                  <c:v>1.5067735143900001</c:v>
                </c:pt>
                <c:pt idx="12">
                  <c:v>1.6627253500099999</c:v>
                </c:pt>
                <c:pt idx="13">
                  <c:v>1.56366652348</c:v>
                </c:pt>
                <c:pt idx="14">
                  <c:v>1.67594322094</c:v>
                </c:pt>
                <c:pt idx="15">
                  <c:v>1.5735750042899999</c:v>
                </c:pt>
                <c:pt idx="16">
                  <c:v>1.3439619428899998</c:v>
                </c:pt>
                <c:pt idx="17">
                  <c:v>1.3353246408900001</c:v>
                </c:pt>
                <c:pt idx="18">
                  <c:v>1.3654073439299999</c:v>
                </c:pt>
                <c:pt idx="19">
                  <c:v>1.5776548672100001</c:v>
                </c:pt>
                <c:pt idx="20">
                  <c:v>1.59609457524</c:v>
                </c:pt>
                <c:pt idx="21">
                  <c:v>1.6578601589299999</c:v>
                </c:pt>
                <c:pt idx="22">
                  <c:v>1.6417092434</c:v>
                </c:pt>
                <c:pt idx="23">
                  <c:v>1.4434459722299999</c:v>
                </c:pt>
                <c:pt idx="24">
                  <c:v>1.4381322345800001</c:v>
                </c:pt>
                <c:pt idx="25">
                  <c:v>1.4727453269500002</c:v>
                </c:pt>
                <c:pt idx="26">
                  <c:v>1.6308840098500001</c:v>
                </c:pt>
                <c:pt idx="27">
                  <c:v>1.71803196453</c:v>
                </c:pt>
                <c:pt idx="28">
                  <c:v>1.7642483962000002</c:v>
                </c:pt>
                <c:pt idx="29">
                  <c:v>1.9867523410000001</c:v>
                </c:pt>
                <c:pt idx="30">
                  <c:v>2.1008167042700001</c:v>
                </c:pt>
                <c:pt idx="31">
                  <c:v>2.1762689279000003</c:v>
                </c:pt>
                <c:pt idx="32">
                  <c:v>2.2642827001300003</c:v>
                </c:pt>
                <c:pt idx="33">
                  <c:v>2.33460138436</c:v>
                </c:pt>
                <c:pt idx="34">
                  <c:v>2.1980750969400003</c:v>
                </c:pt>
                <c:pt idx="35">
                  <c:v>2.2603529581000004</c:v>
                </c:pt>
                <c:pt idx="36">
                  <c:v>2.1954873662000001</c:v>
                </c:pt>
                <c:pt idx="37">
                  <c:v>1.9259202464</c:v>
                </c:pt>
                <c:pt idx="38">
                  <c:v>1.906710288</c:v>
                </c:pt>
                <c:pt idx="39">
                  <c:v>1.84202177904</c:v>
                </c:pt>
                <c:pt idx="40">
                  <c:v>1.7230198173700002</c:v>
                </c:pt>
                <c:pt idx="41">
                  <c:v>1.8091200122199997</c:v>
                </c:pt>
                <c:pt idx="42">
                  <c:v>1.9490610150599998</c:v>
                </c:pt>
                <c:pt idx="43">
                  <c:v>1.906546506</c:v>
                </c:pt>
                <c:pt idx="44">
                  <c:v>1.8899447275800001</c:v>
                </c:pt>
                <c:pt idx="45">
                  <c:v>1.9479662173800001</c:v>
                </c:pt>
                <c:pt idx="46">
                  <c:v>1.9039649494699997</c:v>
                </c:pt>
                <c:pt idx="47">
                  <c:v>1.8906517573800001</c:v>
                </c:pt>
                <c:pt idx="48">
                  <c:v>1.7356156153500002</c:v>
                </c:pt>
                <c:pt idx="49">
                  <c:v>1.5733574255</c:v>
                </c:pt>
                <c:pt idx="50">
                  <c:v>1.52121317758</c:v>
                </c:pt>
                <c:pt idx="51">
                  <c:v>1.4189202831499999</c:v>
                </c:pt>
                <c:pt idx="52">
                  <c:v>1.34645883566</c:v>
                </c:pt>
                <c:pt idx="53">
                  <c:v>1.36397153618</c:v>
                </c:pt>
              </c:numCache>
            </c:numRef>
          </c:val>
          <c:smooth val="0"/>
        </c:ser>
        <c:dLbls>
          <c:showLegendKey val="0"/>
          <c:showVal val="0"/>
          <c:showCatName val="0"/>
          <c:showSerName val="0"/>
          <c:showPercent val="0"/>
          <c:showBubbleSize val="0"/>
        </c:dLbls>
        <c:marker val="1"/>
        <c:smooth val="0"/>
        <c:axId val="44863488"/>
        <c:axId val="44865408"/>
      </c:lineChart>
      <c:catAx>
        <c:axId val="4486348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865408"/>
        <c:crosses val="autoZero"/>
        <c:auto val="1"/>
        <c:lblAlgn val="ctr"/>
        <c:lblOffset val="100"/>
        <c:tickLblSkip val="3"/>
        <c:noMultiLvlLbl val="0"/>
      </c:catAx>
      <c:valAx>
        <c:axId val="44865408"/>
        <c:scaling>
          <c:orientation val="minMax"/>
        </c:scaling>
        <c:delete val="0"/>
        <c:axPos val="l"/>
        <c:majorGridlines/>
        <c:title>
          <c:tx>
            <c:rich>
              <a:bodyPr/>
              <a:lstStyle/>
              <a:p>
                <a:pPr>
                  <a:defRPr/>
                </a:pPr>
                <a:r>
                  <a:rPr lang="en-US"/>
                  <a:t>Billion $</a:t>
                </a:r>
              </a:p>
            </c:rich>
          </c:tx>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863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Muders in Maryland</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CostCrime!$C$2:$BD$2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CostCrime!$C$4:$BD$4</c:f>
              <c:numCache>
                <c:formatCode>#,##0</c:formatCode>
                <c:ptCount val="54"/>
                <c:pt idx="0">
                  <c:v>168</c:v>
                </c:pt>
                <c:pt idx="1">
                  <c:v>143</c:v>
                </c:pt>
                <c:pt idx="2">
                  <c:v>183</c:v>
                </c:pt>
                <c:pt idx="3">
                  <c:v>207</c:v>
                </c:pt>
                <c:pt idx="4">
                  <c:v>229</c:v>
                </c:pt>
                <c:pt idx="5">
                  <c:v>236</c:v>
                </c:pt>
                <c:pt idx="6">
                  <c:v>254</c:v>
                </c:pt>
                <c:pt idx="7">
                  <c:v>293</c:v>
                </c:pt>
                <c:pt idx="8">
                  <c:v>350</c:v>
                </c:pt>
                <c:pt idx="9">
                  <c:v>350</c:v>
                </c:pt>
                <c:pt idx="10">
                  <c:v>362</c:v>
                </c:pt>
                <c:pt idx="11">
                  <c:v>449</c:v>
                </c:pt>
                <c:pt idx="12">
                  <c:v>509</c:v>
                </c:pt>
                <c:pt idx="13">
                  <c:v>460</c:v>
                </c:pt>
                <c:pt idx="14">
                  <c:v>481</c:v>
                </c:pt>
                <c:pt idx="15">
                  <c:v>437</c:v>
                </c:pt>
                <c:pt idx="16">
                  <c:v>352</c:v>
                </c:pt>
                <c:pt idx="17">
                  <c:v>333</c:v>
                </c:pt>
                <c:pt idx="18">
                  <c:v>338</c:v>
                </c:pt>
                <c:pt idx="19">
                  <c:v>406</c:v>
                </c:pt>
                <c:pt idx="20">
                  <c:v>399</c:v>
                </c:pt>
                <c:pt idx="21">
                  <c:v>421</c:v>
                </c:pt>
                <c:pt idx="22">
                  <c:v>432</c:v>
                </c:pt>
                <c:pt idx="23">
                  <c:v>367</c:v>
                </c:pt>
                <c:pt idx="24">
                  <c:v>354</c:v>
                </c:pt>
                <c:pt idx="25">
                  <c:v>350</c:v>
                </c:pt>
                <c:pt idx="26">
                  <c:v>399</c:v>
                </c:pt>
                <c:pt idx="27">
                  <c:v>444</c:v>
                </c:pt>
                <c:pt idx="28">
                  <c:v>452</c:v>
                </c:pt>
                <c:pt idx="29">
                  <c:v>540</c:v>
                </c:pt>
                <c:pt idx="30">
                  <c:v>553</c:v>
                </c:pt>
                <c:pt idx="31">
                  <c:v>569</c:v>
                </c:pt>
                <c:pt idx="32">
                  <c:v>596</c:v>
                </c:pt>
                <c:pt idx="33">
                  <c:v>632</c:v>
                </c:pt>
                <c:pt idx="34">
                  <c:v>579</c:v>
                </c:pt>
                <c:pt idx="35">
                  <c:v>596</c:v>
                </c:pt>
                <c:pt idx="36">
                  <c:v>588</c:v>
                </c:pt>
                <c:pt idx="37">
                  <c:v>501</c:v>
                </c:pt>
                <c:pt idx="38">
                  <c:v>511</c:v>
                </c:pt>
                <c:pt idx="39">
                  <c:v>492</c:v>
                </c:pt>
                <c:pt idx="40">
                  <c:v>438</c:v>
                </c:pt>
                <c:pt idx="41">
                  <c:v>463</c:v>
                </c:pt>
                <c:pt idx="42">
                  <c:v>528</c:v>
                </c:pt>
                <c:pt idx="43">
                  <c:v>525</c:v>
                </c:pt>
                <c:pt idx="44">
                  <c:v>521</c:v>
                </c:pt>
                <c:pt idx="45">
                  <c:v>552</c:v>
                </c:pt>
                <c:pt idx="46">
                  <c:v>547</c:v>
                </c:pt>
                <c:pt idx="47">
                  <c:v>553</c:v>
                </c:pt>
                <c:pt idx="48">
                  <c:v>493</c:v>
                </c:pt>
                <c:pt idx="49">
                  <c:v>440</c:v>
                </c:pt>
                <c:pt idx="50">
                  <c:v>426</c:v>
                </c:pt>
                <c:pt idx="51">
                  <c:v>398</c:v>
                </c:pt>
                <c:pt idx="52">
                  <c:v>372</c:v>
                </c:pt>
                <c:pt idx="53">
                  <c:v>387</c:v>
                </c:pt>
              </c:numCache>
            </c:numRef>
          </c:val>
          <c:smooth val="0"/>
        </c:ser>
        <c:dLbls>
          <c:showLegendKey val="0"/>
          <c:showVal val="0"/>
          <c:showCatName val="0"/>
          <c:showSerName val="0"/>
          <c:showPercent val="0"/>
          <c:showBubbleSize val="0"/>
        </c:dLbls>
        <c:marker val="1"/>
        <c:smooth val="0"/>
        <c:axId val="44885504"/>
        <c:axId val="44887424"/>
      </c:lineChart>
      <c:catAx>
        <c:axId val="448855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887424"/>
        <c:crosses val="autoZero"/>
        <c:auto val="1"/>
        <c:lblAlgn val="ctr"/>
        <c:lblOffset val="100"/>
        <c:tickLblSkip val="3"/>
        <c:noMultiLvlLbl val="0"/>
      </c:catAx>
      <c:valAx>
        <c:axId val="44887424"/>
        <c:scaling>
          <c:orientation val="minMax"/>
        </c:scaling>
        <c:delete val="0"/>
        <c:axPos val="l"/>
        <c:majorGridlines/>
        <c:title>
          <c:tx>
            <c:rich>
              <a:bodyPr/>
              <a:lstStyle/>
              <a:p>
                <a:pPr>
                  <a:defRPr/>
                </a:pPr>
                <a:r>
                  <a:rPr lang="en-US"/>
                  <a:t>per year</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885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Rapes in Maryland</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CostCrime!$C$2:$BD$2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CostCrime!$C$5:$BD$5</c:f>
              <c:numCache>
                <c:formatCode>#,##0</c:formatCode>
                <c:ptCount val="54"/>
                <c:pt idx="0">
                  <c:v>224</c:v>
                </c:pt>
                <c:pt idx="1">
                  <c:v>262</c:v>
                </c:pt>
                <c:pt idx="2">
                  <c:v>279</c:v>
                </c:pt>
                <c:pt idx="3">
                  <c:v>308</c:v>
                </c:pt>
                <c:pt idx="4">
                  <c:v>346</c:v>
                </c:pt>
                <c:pt idx="5">
                  <c:v>489</c:v>
                </c:pt>
                <c:pt idx="6">
                  <c:v>554</c:v>
                </c:pt>
                <c:pt idx="7">
                  <c:v>720</c:v>
                </c:pt>
                <c:pt idx="8">
                  <c:v>978</c:v>
                </c:pt>
                <c:pt idx="9">
                  <c:v>1125</c:v>
                </c:pt>
                <c:pt idx="10">
                  <c:v>936</c:v>
                </c:pt>
                <c:pt idx="11">
                  <c:v>997</c:v>
                </c:pt>
                <c:pt idx="12">
                  <c:v>1053</c:v>
                </c:pt>
                <c:pt idx="13">
                  <c:v>1131</c:v>
                </c:pt>
                <c:pt idx="14">
                  <c:v>1219</c:v>
                </c:pt>
                <c:pt idx="15">
                  <c:v>1289</c:v>
                </c:pt>
                <c:pt idx="16">
                  <c:v>1327</c:v>
                </c:pt>
                <c:pt idx="17">
                  <c:v>1439</c:v>
                </c:pt>
                <c:pt idx="18">
                  <c:v>1476</c:v>
                </c:pt>
                <c:pt idx="19">
                  <c:v>1636</c:v>
                </c:pt>
                <c:pt idx="20">
                  <c:v>1681</c:v>
                </c:pt>
                <c:pt idx="21">
                  <c:v>1654</c:v>
                </c:pt>
                <c:pt idx="22">
                  <c:v>1596</c:v>
                </c:pt>
                <c:pt idx="23">
                  <c:v>1412</c:v>
                </c:pt>
                <c:pt idx="24">
                  <c:v>1640</c:v>
                </c:pt>
                <c:pt idx="25">
                  <c:v>1711</c:v>
                </c:pt>
                <c:pt idx="26">
                  <c:v>1947</c:v>
                </c:pt>
                <c:pt idx="27">
                  <c:v>1894</c:v>
                </c:pt>
                <c:pt idx="28">
                  <c:v>1721</c:v>
                </c:pt>
                <c:pt idx="29">
                  <c:v>1783</c:v>
                </c:pt>
                <c:pt idx="30">
                  <c:v>2185</c:v>
                </c:pt>
                <c:pt idx="31">
                  <c:v>2229</c:v>
                </c:pt>
                <c:pt idx="32">
                  <c:v>2280</c:v>
                </c:pt>
                <c:pt idx="33">
                  <c:v>2185</c:v>
                </c:pt>
                <c:pt idx="34">
                  <c:v>2037</c:v>
                </c:pt>
                <c:pt idx="35">
                  <c:v>2130</c:v>
                </c:pt>
                <c:pt idx="36">
                  <c:v>1907</c:v>
                </c:pt>
                <c:pt idx="37">
                  <c:v>1813</c:v>
                </c:pt>
                <c:pt idx="38">
                  <c:v>1707</c:v>
                </c:pt>
                <c:pt idx="39">
                  <c:v>1482</c:v>
                </c:pt>
                <c:pt idx="40">
                  <c:v>1508</c:v>
                </c:pt>
                <c:pt idx="41">
                  <c:v>1453</c:v>
                </c:pt>
                <c:pt idx="42">
                  <c:v>1364</c:v>
                </c:pt>
                <c:pt idx="43">
                  <c:v>1345</c:v>
                </c:pt>
                <c:pt idx="44">
                  <c:v>1316</c:v>
                </c:pt>
                <c:pt idx="45">
                  <c:v>1266</c:v>
                </c:pt>
                <c:pt idx="46">
                  <c:v>1178</c:v>
                </c:pt>
                <c:pt idx="47">
                  <c:v>1179</c:v>
                </c:pt>
                <c:pt idx="48">
                  <c:v>1127</c:v>
                </c:pt>
                <c:pt idx="49">
                  <c:v>1156</c:v>
                </c:pt>
                <c:pt idx="50">
                  <c:v>1228</c:v>
                </c:pt>
                <c:pt idx="51">
                  <c:v>1196</c:v>
                </c:pt>
                <c:pt idx="52">
                  <c:v>1236</c:v>
                </c:pt>
                <c:pt idx="53">
                  <c:v>1169</c:v>
                </c:pt>
              </c:numCache>
            </c:numRef>
          </c:val>
          <c:smooth val="0"/>
        </c:ser>
        <c:dLbls>
          <c:showLegendKey val="0"/>
          <c:showVal val="0"/>
          <c:showCatName val="0"/>
          <c:showSerName val="0"/>
          <c:showPercent val="0"/>
          <c:showBubbleSize val="0"/>
        </c:dLbls>
        <c:marker val="1"/>
        <c:smooth val="0"/>
        <c:axId val="44903424"/>
        <c:axId val="44921984"/>
      </c:lineChart>
      <c:catAx>
        <c:axId val="4490342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921984"/>
        <c:crosses val="autoZero"/>
        <c:auto val="1"/>
        <c:lblAlgn val="ctr"/>
        <c:lblOffset val="100"/>
        <c:tickLblSkip val="3"/>
        <c:noMultiLvlLbl val="0"/>
      </c:catAx>
      <c:valAx>
        <c:axId val="44921984"/>
        <c:scaling>
          <c:orientation val="minMax"/>
        </c:scaling>
        <c:delete val="0"/>
        <c:axPos val="l"/>
        <c:majorGridlines/>
        <c:title>
          <c:tx>
            <c:rich>
              <a:bodyPr/>
              <a:lstStyle/>
              <a:p>
                <a:pPr>
                  <a:defRPr/>
                </a:pPr>
                <a:r>
                  <a:rPr lang="en-US"/>
                  <a:t>per year</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034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Robberies in</a:t>
            </a:r>
            <a:r>
              <a:rPr lang="en-US" baseline="0"/>
              <a:t> Maryland</a:t>
            </a:r>
            <a:endParaRPr lang="en-US"/>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CostCrime!$C$2:$BD$2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CostCrime!$C$6:$BD$6</c:f>
              <c:numCache>
                <c:formatCode>#,##0</c:formatCode>
                <c:ptCount val="54"/>
                <c:pt idx="0">
                  <c:v>1158</c:v>
                </c:pt>
                <c:pt idx="1">
                  <c:v>1330</c:v>
                </c:pt>
                <c:pt idx="2">
                  <c:v>1340</c:v>
                </c:pt>
                <c:pt idx="3">
                  <c:v>1721</c:v>
                </c:pt>
                <c:pt idx="4">
                  <c:v>2041</c:v>
                </c:pt>
                <c:pt idx="5">
                  <c:v>2919</c:v>
                </c:pt>
                <c:pt idx="6">
                  <c:v>4470</c:v>
                </c:pt>
                <c:pt idx="7">
                  <c:v>7809</c:v>
                </c:pt>
                <c:pt idx="8">
                  <c:v>10355</c:v>
                </c:pt>
                <c:pt idx="9">
                  <c:v>11086</c:v>
                </c:pt>
                <c:pt idx="10">
                  <c:v>13280</c:v>
                </c:pt>
                <c:pt idx="11">
                  <c:v>13015</c:v>
                </c:pt>
                <c:pt idx="12">
                  <c:v>13144</c:v>
                </c:pt>
                <c:pt idx="13">
                  <c:v>12274</c:v>
                </c:pt>
                <c:pt idx="14">
                  <c:v>14765</c:v>
                </c:pt>
                <c:pt idx="15">
                  <c:v>14107</c:v>
                </c:pt>
                <c:pt idx="16">
                  <c:v>12247</c:v>
                </c:pt>
                <c:pt idx="17">
                  <c:v>12088</c:v>
                </c:pt>
                <c:pt idx="18">
                  <c:v>12828</c:v>
                </c:pt>
                <c:pt idx="19">
                  <c:v>13740</c:v>
                </c:pt>
                <c:pt idx="20">
                  <c:v>16461</c:v>
                </c:pt>
                <c:pt idx="21">
                  <c:v>18085</c:v>
                </c:pt>
                <c:pt idx="22">
                  <c:v>15377</c:v>
                </c:pt>
                <c:pt idx="23">
                  <c:v>14950</c:v>
                </c:pt>
                <c:pt idx="24">
                  <c:v>13097</c:v>
                </c:pt>
                <c:pt idx="25">
                  <c:v>13276</c:v>
                </c:pt>
                <c:pt idx="26">
                  <c:v>13570</c:v>
                </c:pt>
                <c:pt idx="27">
                  <c:v>13363</c:v>
                </c:pt>
                <c:pt idx="28">
                  <c:v>13991</c:v>
                </c:pt>
                <c:pt idx="29">
                  <c:v>15584</c:v>
                </c:pt>
                <c:pt idx="30">
                  <c:v>17393</c:v>
                </c:pt>
                <c:pt idx="31">
                  <c:v>19781</c:v>
                </c:pt>
                <c:pt idx="32">
                  <c:v>21054</c:v>
                </c:pt>
                <c:pt idx="33">
                  <c:v>21580</c:v>
                </c:pt>
                <c:pt idx="34">
                  <c:v>20146</c:v>
                </c:pt>
                <c:pt idx="35">
                  <c:v>21331</c:v>
                </c:pt>
                <c:pt idx="36">
                  <c:v>19935</c:v>
                </c:pt>
                <c:pt idx="37">
                  <c:v>17158</c:v>
                </c:pt>
                <c:pt idx="38">
                  <c:v>15303</c:v>
                </c:pt>
                <c:pt idx="39">
                  <c:v>14124</c:v>
                </c:pt>
                <c:pt idx="40">
                  <c:v>13707</c:v>
                </c:pt>
                <c:pt idx="41">
                  <c:v>14252</c:v>
                </c:pt>
                <c:pt idx="42">
                  <c:v>13687</c:v>
                </c:pt>
                <c:pt idx="43">
                  <c:v>13302</c:v>
                </c:pt>
                <c:pt idx="44">
                  <c:v>12761</c:v>
                </c:pt>
                <c:pt idx="45">
                  <c:v>14378</c:v>
                </c:pt>
                <c:pt idx="46">
                  <c:v>14375</c:v>
                </c:pt>
                <c:pt idx="47">
                  <c:v>13258</c:v>
                </c:pt>
                <c:pt idx="48">
                  <c:v>13203</c:v>
                </c:pt>
                <c:pt idx="49">
                  <c:v>12007</c:v>
                </c:pt>
                <c:pt idx="50">
                  <c:v>11053</c:v>
                </c:pt>
                <c:pt idx="51">
                  <c:v>10338</c:v>
                </c:pt>
                <c:pt idx="52">
                  <c:v>10171</c:v>
                </c:pt>
                <c:pt idx="53">
                  <c:v>10082</c:v>
                </c:pt>
              </c:numCache>
            </c:numRef>
          </c:val>
          <c:smooth val="0"/>
        </c:ser>
        <c:dLbls>
          <c:showLegendKey val="0"/>
          <c:showVal val="0"/>
          <c:showCatName val="0"/>
          <c:showSerName val="0"/>
          <c:showPercent val="0"/>
          <c:showBubbleSize val="0"/>
        </c:dLbls>
        <c:marker val="1"/>
        <c:smooth val="0"/>
        <c:axId val="44954368"/>
        <c:axId val="44956288"/>
      </c:lineChart>
      <c:catAx>
        <c:axId val="449543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956288"/>
        <c:crosses val="autoZero"/>
        <c:auto val="1"/>
        <c:lblAlgn val="ctr"/>
        <c:lblOffset val="100"/>
        <c:tickLblSkip val="3"/>
        <c:noMultiLvlLbl val="0"/>
      </c:catAx>
      <c:valAx>
        <c:axId val="44956288"/>
        <c:scaling>
          <c:orientation val="minMax"/>
        </c:scaling>
        <c:delete val="0"/>
        <c:axPos val="l"/>
        <c:majorGridlines/>
        <c:title>
          <c:tx>
            <c:rich>
              <a:bodyPr/>
              <a:lstStyle/>
              <a:p>
                <a:pPr>
                  <a:defRPr/>
                </a:pPr>
                <a:r>
                  <a:rPr lang="en-US"/>
                  <a:t>per year</a:t>
                </a:r>
              </a:p>
            </c:rich>
          </c:tx>
          <c:layout>
            <c:manualLayout>
              <c:xMode val="edge"/>
              <c:yMode val="edge"/>
              <c:x val="2.0735155513666354E-2"/>
              <c:y val="0.42949195044886906"/>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954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Larceny</a:t>
            </a:r>
            <a:r>
              <a:rPr lang="en-US" baseline="0"/>
              <a:t> in Maryland</a:t>
            </a:r>
            <a:endParaRPr lang="en-US"/>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CostCrime!$C$2:$BD$2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CostCrime!$C$9:$BD$9</c:f>
              <c:numCache>
                <c:formatCode>#,##0</c:formatCode>
                <c:ptCount val="54"/>
                <c:pt idx="0">
                  <c:v>30024</c:v>
                </c:pt>
                <c:pt idx="1">
                  <c:v>33461</c:v>
                </c:pt>
                <c:pt idx="2">
                  <c:v>36298</c:v>
                </c:pt>
                <c:pt idx="3">
                  <c:v>41387</c:v>
                </c:pt>
                <c:pt idx="4">
                  <c:v>46471</c:v>
                </c:pt>
                <c:pt idx="5">
                  <c:v>53831</c:v>
                </c:pt>
                <c:pt idx="6">
                  <c:v>60270</c:v>
                </c:pt>
                <c:pt idx="7">
                  <c:v>71147</c:v>
                </c:pt>
                <c:pt idx="8">
                  <c:v>77041</c:v>
                </c:pt>
                <c:pt idx="9">
                  <c:v>83610</c:v>
                </c:pt>
                <c:pt idx="10">
                  <c:v>94816</c:v>
                </c:pt>
                <c:pt idx="11">
                  <c:v>101138</c:v>
                </c:pt>
                <c:pt idx="12">
                  <c:v>94571</c:v>
                </c:pt>
                <c:pt idx="13">
                  <c:v>100036</c:v>
                </c:pt>
                <c:pt idx="14">
                  <c:v>120562</c:v>
                </c:pt>
                <c:pt idx="15">
                  <c:v>133908</c:v>
                </c:pt>
                <c:pt idx="16">
                  <c:v>134355</c:v>
                </c:pt>
                <c:pt idx="17">
                  <c:v>131526</c:v>
                </c:pt>
                <c:pt idx="18">
                  <c:v>134024</c:v>
                </c:pt>
                <c:pt idx="19">
                  <c:v>145297</c:v>
                </c:pt>
                <c:pt idx="20">
                  <c:v>152144</c:v>
                </c:pt>
                <c:pt idx="21">
                  <c:v>152405</c:v>
                </c:pt>
                <c:pt idx="22">
                  <c:v>142903</c:v>
                </c:pt>
                <c:pt idx="23">
                  <c:v>127443</c:v>
                </c:pt>
                <c:pt idx="24">
                  <c:v>123567</c:v>
                </c:pt>
                <c:pt idx="25">
                  <c:v>126193</c:v>
                </c:pt>
                <c:pt idx="26">
                  <c:v>132899</c:v>
                </c:pt>
                <c:pt idx="27">
                  <c:v>136863</c:v>
                </c:pt>
                <c:pt idx="28">
                  <c:v>141416</c:v>
                </c:pt>
                <c:pt idx="29">
                  <c:v>136929</c:v>
                </c:pt>
                <c:pt idx="30">
                  <c:v>147390</c:v>
                </c:pt>
                <c:pt idx="31">
                  <c:v>163564</c:v>
                </c:pt>
                <c:pt idx="32">
                  <c:v>165236</c:v>
                </c:pt>
                <c:pt idx="33">
                  <c:v>163443</c:v>
                </c:pt>
                <c:pt idx="34">
                  <c:v>168568</c:v>
                </c:pt>
                <c:pt idx="35">
                  <c:v>178086</c:v>
                </c:pt>
                <c:pt idx="36">
                  <c:v>175283</c:v>
                </c:pt>
                <c:pt idx="37">
                  <c:v>166054</c:v>
                </c:pt>
                <c:pt idx="38">
                  <c:v>158431</c:v>
                </c:pt>
                <c:pt idx="39">
                  <c:v>150020</c:v>
                </c:pt>
                <c:pt idx="40">
                  <c:v>146156</c:v>
                </c:pt>
                <c:pt idx="41">
                  <c:v>147594</c:v>
                </c:pt>
                <c:pt idx="42">
                  <c:v>144074</c:v>
                </c:pt>
                <c:pt idx="43">
                  <c:v>134369</c:v>
                </c:pt>
                <c:pt idx="44">
                  <c:v>129786</c:v>
                </c:pt>
                <c:pt idx="45">
                  <c:v>128483</c:v>
                </c:pt>
                <c:pt idx="46">
                  <c:v>127500</c:v>
                </c:pt>
                <c:pt idx="47">
                  <c:v>127307</c:v>
                </c:pt>
                <c:pt idx="48">
                  <c:v>133983</c:v>
                </c:pt>
                <c:pt idx="49">
                  <c:v>125771</c:v>
                </c:pt>
                <c:pt idx="50">
                  <c:v>118583</c:v>
                </c:pt>
                <c:pt idx="51">
                  <c:v>114871</c:v>
                </c:pt>
                <c:pt idx="52">
                  <c:v>113772</c:v>
                </c:pt>
                <c:pt idx="53">
                  <c:v>112384</c:v>
                </c:pt>
              </c:numCache>
            </c:numRef>
          </c:val>
          <c:smooth val="0"/>
        </c:ser>
        <c:dLbls>
          <c:showLegendKey val="0"/>
          <c:showVal val="0"/>
          <c:showCatName val="0"/>
          <c:showSerName val="0"/>
          <c:showPercent val="0"/>
          <c:showBubbleSize val="0"/>
        </c:dLbls>
        <c:marker val="1"/>
        <c:smooth val="0"/>
        <c:axId val="45046016"/>
        <c:axId val="45064576"/>
      </c:lineChart>
      <c:catAx>
        <c:axId val="4504601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5064576"/>
        <c:crosses val="autoZero"/>
        <c:auto val="1"/>
        <c:lblAlgn val="ctr"/>
        <c:lblOffset val="100"/>
        <c:tickLblSkip val="3"/>
        <c:noMultiLvlLbl val="0"/>
      </c:catAx>
      <c:valAx>
        <c:axId val="45064576"/>
        <c:scaling>
          <c:orientation val="minMax"/>
        </c:scaling>
        <c:delete val="0"/>
        <c:axPos val="l"/>
        <c:majorGridlines/>
        <c:title>
          <c:tx>
            <c:rich>
              <a:bodyPr/>
              <a:lstStyle/>
              <a:p>
                <a:pPr>
                  <a:defRPr/>
                </a:pPr>
                <a:r>
                  <a:rPr lang="en-US"/>
                  <a:t>per year</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046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Aggravated Assaults</a:t>
            </a:r>
            <a:r>
              <a:rPr lang="en-US" baseline="0"/>
              <a:t> in Maryland</a:t>
            </a:r>
            <a:endParaRPr lang="en-US"/>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CostCrime!$C$2:$BD$2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CostCrime!$C$7:$BD$7</c:f>
              <c:numCache>
                <c:formatCode>#,##0</c:formatCode>
                <c:ptCount val="54"/>
                <c:pt idx="0">
                  <c:v>3141</c:v>
                </c:pt>
                <c:pt idx="1">
                  <c:v>3224</c:v>
                </c:pt>
                <c:pt idx="2">
                  <c:v>3113</c:v>
                </c:pt>
                <c:pt idx="3">
                  <c:v>3047</c:v>
                </c:pt>
                <c:pt idx="4">
                  <c:v>4830</c:v>
                </c:pt>
                <c:pt idx="5">
                  <c:v>6388</c:v>
                </c:pt>
                <c:pt idx="6">
                  <c:v>5958</c:v>
                </c:pt>
                <c:pt idx="7">
                  <c:v>8636</c:v>
                </c:pt>
                <c:pt idx="8">
                  <c:v>11722</c:v>
                </c:pt>
                <c:pt idx="9">
                  <c:v>11734</c:v>
                </c:pt>
                <c:pt idx="10">
                  <c:v>9934</c:v>
                </c:pt>
                <c:pt idx="11">
                  <c:v>10396</c:v>
                </c:pt>
                <c:pt idx="12">
                  <c:v>11706</c:v>
                </c:pt>
                <c:pt idx="13">
                  <c:v>12228</c:v>
                </c:pt>
                <c:pt idx="14">
                  <c:v>12974</c:v>
                </c:pt>
                <c:pt idx="15">
                  <c:v>13254</c:v>
                </c:pt>
                <c:pt idx="16">
                  <c:v>12323</c:v>
                </c:pt>
                <c:pt idx="17">
                  <c:v>14856</c:v>
                </c:pt>
                <c:pt idx="18">
                  <c:v>15686</c:v>
                </c:pt>
                <c:pt idx="19">
                  <c:v>17225</c:v>
                </c:pt>
                <c:pt idx="20">
                  <c:v>17194</c:v>
                </c:pt>
                <c:pt idx="21">
                  <c:v>17640</c:v>
                </c:pt>
                <c:pt idx="22">
                  <c:v>18849</c:v>
                </c:pt>
                <c:pt idx="23">
                  <c:v>18007</c:v>
                </c:pt>
                <c:pt idx="24">
                  <c:v>19364</c:v>
                </c:pt>
                <c:pt idx="25">
                  <c:v>21425</c:v>
                </c:pt>
                <c:pt idx="26">
                  <c:v>21226</c:v>
                </c:pt>
                <c:pt idx="27">
                  <c:v>19597</c:v>
                </c:pt>
                <c:pt idx="28">
                  <c:v>21290</c:v>
                </c:pt>
                <c:pt idx="29">
                  <c:v>22206</c:v>
                </c:pt>
                <c:pt idx="30">
                  <c:v>23837</c:v>
                </c:pt>
                <c:pt idx="31">
                  <c:v>23846</c:v>
                </c:pt>
                <c:pt idx="32">
                  <c:v>25110</c:v>
                </c:pt>
                <c:pt idx="33">
                  <c:v>25161</c:v>
                </c:pt>
                <c:pt idx="34">
                  <c:v>24692</c:v>
                </c:pt>
                <c:pt idx="35">
                  <c:v>25699</c:v>
                </c:pt>
                <c:pt idx="36">
                  <c:v>24798</c:v>
                </c:pt>
                <c:pt idx="37">
                  <c:v>23614</c:v>
                </c:pt>
                <c:pt idx="38">
                  <c:v>23260</c:v>
                </c:pt>
                <c:pt idx="39">
                  <c:v>26105</c:v>
                </c:pt>
                <c:pt idx="40">
                  <c:v>26201</c:v>
                </c:pt>
                <c:pt idx="41">
                  <c:v>26748</c:v>
                </c:pt>
                <c:pt idx="42">
                  <c:v>26709</c:v>
                </c:pt>
                <c:pt idx="43">
                  <c:v>23593</c:v>
                </c:pt>
                <c:pt idx="44">
                  <c:v>24339</c:v>
                </c:pt>
                <c:pt idx="45">
                  <c:v>23173</c:v>
                </c:pt>
                <c:pt idx="46">
                  <c:v>22011</c:v>
                </c:pt>
                <c:pt idx="47">
                  <c:v>21074</c:v>
                </c:pt>
                <c:pt idx="48">
                  <c:v>20571</c:v>
                </c:pt>
                <c:pt idx="49">
                  <c:v>20023</c:v>
                </c:pt>
                <c:pt idx="50">
                  <c:v>18898</c:v>
                </c:pt>
                <c:pt idx="51">
                  <c:v>16866</c:v>
                </c:pt>
                <c:pt idx="52">
                  <c:v>16300</c:v>
                </c:pt>
                <c:pt idx="53">
                  <c:v>16082</c:v>
                </c:pt>
              </c:numCache>
            </c:numRef>
          </c:val>
          <c:smooth val="0"/>
        </c:ser>
        <c:dLbls>
          <c:showLegendKey val="0"/>
          <c:showVal val="0"/>
          <c:showCatName val="0"/>
          <c:showSerName val="0"/>
          <c:showPercent val="0"/>
          <c:showBubbleSize val="0"/>
        </c:dLbls>
        <c:marker val="1"/>
        <c:smooth val="0"/>
        <c:axId val="45101056"/>
        <c:axId val="45102976"/>
      </c:lineChart>
      <c:catAx>
        <c:axId val="4510105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5102976"/>
        <c:crosses val="autoZero"/>
        <c:auto val="1"/>
        <c:lblAlgn val="ctr"/>
        <c:lblOffset val="100"/>
        <c:tickLblSkip val="3"/>
        <c:noMultiLvlLbl val="0"/>
      </c:catAx>
      <c:valAx>
        <c:axId val="45102976"/>
        <c:scaling>
          <c:orientation val="minMax"/>
        </c:scaling>
        <c:delete val="0"/>
        <c:axPos val="l"/>
        <c:majorGridlines/>
        <c:title>
          <c:tx>
            <c:rich>
              <a:bodyPr/>
              <a:lstStyle/>
              <a:p>
                <a:pPr>
                  <a:defRPr/>
                </a:pPr>
                <a:r>
                  <a:rPr lang="en-US"/>
                  <a:t>per year</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101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Break and Enters in Maryland</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CostCrime!$C$2:$BD$2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CostCrime!$C$8:$BD$8</c:f>
              <c:numCache>
                <c:formatCode>#,##0</c:formatCode>
                <c:ptCount val="54"/>
                <c:pt idx="0">
                  <c:v>11360</c:v>
                </c:pt>
                <c:pt idx="1">
                  <c:v>12348</c:v>
                </c:pt>
                <c:pt idx="2">
                  <c:v>12886</c:v>
                </c:pt>
                <c:pt idx="3">
                  <c:v>15968</c:v>
                </c:pt>
                <c:pt idx="4">
                  <c:v>18735</c:v>
                </c:pt>
                <c:pt idx="5">
                  <c:v>22474</c:v>
                </c:pt>
                <c:pt idx="6">
                  <c:v>27254</c:v>
                </c:pt>
                <c:pt idx="7">
                  <c:v>37366</c:v>
                </c:pt>
                <c:pt idx="8">
                  <c:v>48886</c:v>
                </c:pt>
                <c:pt idx="9">
                  <c:v>41970</c:v>
                </c:pt>
                <c:pt idx="10">
                  <c:v>41234</c:v>
                </c:pt>
                <c:pt idx="11">
                  <c:v>44900</c:v>
                </c:pt>
                <c:pt idx="12">
                  <c:v>45090</c:v>
                </c:pt>
                <c:pt idx="13">
                  <c:v>46584</c:v>
                </c:pt>
                <c:pt idx="14">
                  <c:v>57433</c:v>
                </c:pt>
                <c:pt idx="15">
                  <c:v>57912</c:v>
                </c:pt>
                <c:pt idx="16">
                  <c:v>56356</c:v>
                </c:pt>
                <c:pt idx="17">
                  <c:v>57946</c:v>
                </c:pt>
                <c:pt idx="18">
                  <c:v>58907</c:v>
                </c:pt>
                <c:pt idx="19">
                  <c:v>62630</c:v>
                </c:pt>
                <c:pt idx="20">
                  <c:v>71183</c:v>
                </c:pt>
                <c:pt idx="21">
                  <c:v>70740</c:v>
                </c:pt>
                <c:pt idx="22">
                  <c:v>60547</c:v>
                </c:pt>
                <c:pt idx="23">
                  <c:v>52697</c:v>
                </c:pt>
                <c:pt idx="24">
                  <c:v>51484</c:v>
                </c:pt>
                <c:pt idx="25">
                  <c:v>53168</c:v>
                </c:pt>
                <c:pt idx="26">
                  <c:v>55596</c:v>
                </c:pt>
                <c:pt idx="27">
                  <c:v>53226</c:v>
                </c:pt>
                <c:pt idx="28">
                  <c:v>54696</c:v>
                </c:pt>
                <c:pt idx="29">
                  <c:v>52698</c:v>
                </c:pt>
                <c:pt idx="30">
                  <c:v>53537</c:v>
                </c:pt>
                <c:pt idx="31">
                  <c:v>56255</c:v>
                </c:pt>
                <c:pt idx="32">
                  <c:v>55521</c:v>
                </c:pt>
                <c:pt idx="33">
                  <c:v>56237</c:v>
                </c:pt>
                <c:pt idx="34">
                  <c:v>52225</c:v>
                </c:pt>
                <c:pt idx="35">
                  <c:v>53311</c:v>
                </c:pt>
                <c:pt idx="36">
                  <c:v>50316</c:v>
                </c:pt>
                <c:pt idx="37">
                  <c:v>47839</c:v>
                </c:pt>
                <c:pt idx="38">
                  <c:v>47235</c:v>
                </c:pt>
                <c:pt idx="39">
                  <c:v>43629</c:v>
                </c:pt>
                <c:pt idx="40">
                  <c:v>39654</c:v>
                </c:pt>
                <c:pt idx="41">
                  <c:v>42799</c:v>
                </c:pt>
                <c:pt idx="42">
                  <c:v>39721</c:v>
                </c:pt>
                <c:pt idx="43">
                  <c:v>39096</c:v>
                </c:pt>
                <c:pt idx="44">
                  <c:v>36682</c:v>
                </c:pt>
                <c:pt idx="45">
                  <c:v>35921</c:v>
                </c:pt>
                <c:pt idx="46">
                  <c:v>37457</c:v>
                </c:pt>
                <c:pt idx="47">
                  <c:v>37095</c:v>
                </c:pt>
                <c:pt idx="48">
                  <c:v>38849</c:v>
                </c:pt>
                <c:pt idx="49">
                  <c:v>36905</c:v>
                </c:pt>
                <c:pt idx="50">
                  <c:v>36700</c:v>
                </c:pt>
                <c:pt idx="51">
                  <c:v>35781</c:v>
                </c:pt>
                <c:pt idx="52">
                  <c:v>33472</c:v>
                </c:pt>
                <c:pt idx="53">
                  <c:v>31889</c:v>
                </c:pt>
              </c:numCache>
            </c:numRef>
          </c:val>
          <c:smooth val="0"/>
        </c:ser>
        <c:dLbls>
          <c:showLegendKey val="0"/>
          <c:showVal val="0"/>
          <c:showCatName val="0"/>
          <c:showSerName val="0"/>
          <c:showPercent val="0"/>
          <c:showBubbleSize val="0"/>
        </c:dLbls>
        <c:marker val="1"/>
        <c:smooth val="0"/>
        <c:axId val="45127168"/>
        <c:axId val="45129088"/>
      </c:lineChart>
      <c:catAx>
        <c:axId val="451271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5129088"/>
        <c:crosses val="autoZero"/>
        <c:auto val="1"/>
        <c:lblAlgn val="ctr"/>
        <c:lblOffset val="100"/>
        <c:tickLblSkip val="3"/>
        <c:noMultiLvlLbl val="0"/>
      </c:catAx>
      <c:valAx>
        <c:axId val="45129088"/>
        <c:scaling>
          <c:orientation val="minMax"/>
        </c:scaling>
        <c:delete val="0"/>
        <c:axPos val="l"/>
        <c:majorGridlines/>
        <c:title>
          <c:tx>
            <c:rich>
              <a:bodyPr/>
              <a:lstStyle/>
              <a:p>
                <a:pPr>
                  <a:defRPr/>
                </a:pPr>
                <a:r>
                  <a:rPr lang="en-US"/>
                  <a:t>per year</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127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Value of Housework</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ValueofHousework!$C$2:$BD$2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ValueofHousework!$C$3:$BD$3</c:f>
              <c:numCache>
                <c:formatCode>0.000000</c:formatCode>
                <c:ptCount val="54"/>
                <c:pt idx="0">
                  <c:v>11.918824491170243</c:v>
                </c:pt>
                <c:pt idx="1">
                  <c:v>12.351176145495065</c:v>
                </c:pt>
                <c:pt idx="2">
                  <c:v>13.018251585721478</c:v>
                </c:pt>
                <c:pt idx="3">
                  <c:v>13.543086630543284</c:v>
                </c:pt>
                <c:pt idx="4">
                  <c:v>14.365799738886935</c:v>
                </c:pt>
                <c:pt idx="5">
                  <c:v>15.192557276914291</c:v>
                </c:pt>
                <c:pt idx="6">
                  <c:v>16.039091829533444</c:v>
                </c:pt>
                <c:pt idx="7">
                  <c:v>16.683871725099035</c:v>
                </c:pt>
                <c:pt idx="8">
                  <c:v>17.441587110767792</c:v>
                </c:pt>
                <c:pt idx="9">
                  <c:v>18.44100050718437</c:v>
                </c:pt>
                <c:pt idx="10">
                  <c:v>18.886747427489105</c:v>
                </c:pt>
                <c:pt idx="11">
                  <c:v>19.496078778533981</c:v>
                </c:pt>
                <c:pt idx="12">
                  <c:v>20.338564914217368</c:v>
                </c:pt>
                <c:pt idx="13">
                  <c:v>20.790050501331905</c:v>
                </c:pt>
                <c:pt idx="14">
                  <c:v>20.257098036643033</c:v>
                </c:pt>
                <c:pt idx="15">
                  <c:v>19.798572843208454</c:v>
                </c:pt>
                <c:pt idx="16">
                  <c:v>20.496547512219827</c:v>
                </c:pt>
                <c:pt idx="17">
                  <c:v>20.947567940976001</c:v>
                </c:pt>
                <c:pt idx="18">
                  <c:v>21.531827828117038</c:v>
                </c:pt>
                <c:pt idx="19">
                  <c:v>21.369990563845022</c:v>
                </c:pt>
                <c:pt idx="20">
                  <c:v>21.209891701953648</c:v>
                </c:pt>
                <c:pt idx="21">
                  <c:v>21.484400398308789</c:v>
                </c:pt>
                <c:pt idx="22">
                  <c:v>21.941537777205294</c:v>
                </c:pt>
                <c:pt idx="23">
                  <c:v>22.89263740841929</c:v>
                </c:pt>
                <c:pt idx="24">
                  <c:v>24.442552092288281</c:v>
                </c:pt>
                <c:pt idx="25">
                  <c:v>25.732848546251525</c:v>
                </c:pt>
                <c:pt idx="26">
                  <c:v>27.147664931275603</c:v>
                </c:pt>
                <c:pt idx="27">
                  <c:v>28.290087398931995</c:v>
                </c:pt>
                <c:pt idx="28">
                  <c:v>29.649234801573694</c:v>
                </c:pt>
                <c:pt idx="29">
                  <c:v>30.495428529105268</c:v>
                </c:pt>
                <c:pt idx="30">
                  <c:v>30.486567679077986</c:v>
                </c:pt>
                <c:pt idx="31">
                  <c:v>29.098873971053393</c:v>
                </c:pt>
                <c:pt idx="32">
                  <c:v>28.634689299576923</c:v>
                </c:pt>
                <c:pt idx="33">
                  <c:v>28.126419744677996</c:v>
                </c:pt>
                <c:pt idx="34">
                  <c:v>27.942819106377765</c:v>
                </c:pt>
                <c:pt idx="35">
                  <c:v>27.533748714905826</c:v>
                </c:pt>
                <c:pt idx="36">
                  <c:v>27.253872814912175</c:v>
                </c:pt>
                <c:pt idx="37">
                  <c:v>27.327692606101746</c:v>
                </c:pt>
                <c:pt idx="38">
                  <c:v>27.839509285302494</c:v>
                </c:pt>
                <c:pt idx="39">
                  <c:v>27.933572402786204</c:v>
                </c:pt>
                <c:pt idx="40">
                  <c:v>28.457584355640009</c:v>
                </c:pt>
                <c:pt idx="41">
                  <c:v>28.123235216397067</c:v>
                </c:pt>
                <c:pt idx="42">
                  <c:v>28.384969815590445</c:v>
                </c:pt>
                <c:pt idx="43">
                  <c:v>27.714380174400336</c:v>
                </c:pt>
                <c:pt idx="44">
                  <c:v>28.641548878209864</c:v>
                </c:pt>
                <c:pt idx="45">
                  <c:v>29.319573864917025</c:v>
                </c:pt>
                <c:pt idx="46">
                  <c:v>29.343114146315756</c:v>
                </c:pt>
                <c:pt idx="47">
                  <c:v>30.959935688448819</c:v>
                </c:pt>
                <c:pt idx="48">
                  <c:v>29.495449266623723</c:v>
                </c:pt>
                <c:pt idx="49">
                  <c:v>32.178996410386077</c:v>
                </c:pt>
                <c:pt idx="50">
                  <c:v>32.667132992208003</c:v>
                </c:pt>
                <c:pt idx="51">
                  <c:v>32.475197663251208</c:v>
                </c:pt>
                <c:pt idx="52">
                  <c:v>32.328158598450003</c:v>
                </c:pt>
                <c:pt idx="53">
                  <c:v>32.875096722541429</c:v>
                </c:pt>
              </c:numCache>
            </c:numRef>
          </c:val>
          <c:smooth val="0"/>
        </c:ser>
        <c:dLbls>
          <c:showLegendKey val="0"/>
          <c:showVal val="0"/>
          <c:showCatName val="0"/>
          <c:showSerName val="0"/>
          <c:showPercent val="0"/>
          <c:showBubbleSize val="0"/>
        </c:dLbls>
        <c:marker val="1"/>
        <c:smooth val="0"/>
        <c:axId val="171004288"/>
        <c:axId val="171352832"/>
      </c:lineChart>
      <c:catAx>
        <c:axId val="17100428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71352832"/>
        <c:crosses val="autoZero"/>
        <c:auto val="1"/>
        <c:lblAlgn val="ctr"/>
        <c:lblOffset val="100"/>
        <c:tickLblSkip val="3"/>
        <c:noMultiLvlLbl val="0"/>
      </c:catAx>
      <c:valAx>
        <c:axId val="171352832"/>
        <c:scaling>
          <c:orientation val="minMax"/>
        </c:scaling>
        <c:delete val="0"/>
        <c:axPos val="l"/>
        <c:majorGridlines/>
        <c:title>
          <c:tx>
            <c:rich>
              <a:bodyPr/>
              <a:lstStyle/>
              <a:p>
                <a:pPr>
                  <a:defRPr/>
                </a:pPr>
                <a:r>
                  <a:rPr lang="en-US"/>
                  <a:t>Billion $</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1004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Motor Vehicle Thefts in Maryland</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CostCrime!$C$2:$BD$2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CostCrime!$C$10:$BD$10</c:f>
              <c:numCache>
                <c:formatCode>#,##0</c:formatCode>
                <c:ptCount val="54"/>
                <c:pt idx="0">
                  <c:v>5708</c:v>
                </c:pt>
                <c:pt idx="1">
                  <c:v>6297</c:v>
                </c:pt>
                <c:pt idx="2">
                  <c:v>6226</c:v>
                </c:pt>
                <c:pt idx="3">
                  <c:v>7814</c:v>
                </c:pt>
                <c:pt idx="4">
                  <c:v>9267</c:v>
                </c:pt>
                <c:pt idx="5">
                  <c:v>10767</c:v>
                </c:pt>
                <c:pt idx="6">
                  <c:v>15542</c:v>
                </c:pt>
                <c:pt idx="7">
                  <c:v>18009</c:v>
                </c:pt>
                <c:pt idx="8">
                  <c:v>22729</c:v>
                </c:pt>
                <c:pt idx="9">
                  <c:v>22311</c:v>
                </c:pt>
                <c:pt idx="10">
                  <c:v>21478</c:v>
                </c:pt>
                <c:pt idx="11">
                  <c:v>21072</c:v>
                </c:pt>
                <c:pt idx="12">
                  <c:v>21667</c:v>
                </c:pt>
                <c:pt idx="13">
                  <c:v>22297</c:v>
                </c:pt>
                <c:pt idx="14">
                  <c:v>23882</c:v>
                </c:pt>
                <c:pt idx="15">
                  <c:v>21182</c:v>
                </c:pt>
                <c:pt idx="16">
                  <c:v>17772</c:v>
                </c:pt>
                <c:pt idx="17">
                  <c:v>17734</c:v>
                </c:pt>
                <c:pt idx="18">
                  <c:v>17599</c:v>
                </c:pt>
                <c:pt idx="19">
                  <c:v>20232</c:v>
                </c:pt>
                <c:pt idx="20">
                  <c:v>18887</c:v>
                </c:pt>
                <c:pt idx="21">
                  <c:v>18480</c:v>
                </c:pt>
                <c:pt idx="22">
                  <c:v>16724</c:v>
                </c:pt>
                <c:pt idx="23">
                  <c:v>15688</c:v>
                </c:pt>
                <c:pt idx="24">
                  <c:v>17274</c:v>
                </c:pt>
                <c:pt idx="25">
                  <c:v>20265</c:v>
                </c:pt>
                <c:pt idx="26">
                  <c:v>24331</c:v>
                </c:pt>
                <c:pt idx="27">
                  <c:v>26419</c:v>
                </c:pt>
                <c:pt idx="28">
                  <c:v>31198</c:v>
                </c:pt>
                <c:pt idx="29">
                  <c:v>31163</c:v>
                </c:pt>
                <c:pt idx="30">
                  <c:v>33885</c:v>
                </c:pt>
                <c:pt idx="31">
                  <c:v>35517</c:v>
                </c:pt>
                <c:pt idx="32">
                  <c:v>35657</c:v>
                </c:pt>
                <c:pt idx="33">
                  <c:v>33926</c:v>
                </c:pt>
                <c:pt idx="34">
                  <c:v>38194</c:v>
                </c:pt>
                <c:pt idx="35">
                  <c:v>36176</c:v>
                </c:pt>
                <c:pt idx="36">
                  <c:v>36076</c:v>
                </c:pt>
                <c:pt idx="37">
                  <c:v>30646</c:v>
                </c:pt>
                <c:pt idx="38">
                  <c:v>28140</c:v>
                </c:pt>
                <c:pt idx="39">
                  <c:v>26067</c:v>
                </c:pt>
                <c:pt idx="40">
                  <c:v>28622</c:v>
                </c:pt>
                <c:pt idx="41">
                  <c:v>33289</c:v>
                </c:pt>
                <c:pt idx="42">
                  <c:v>35882</c:v>
                </c:pt>
                <c:pt idx="43">
                  <c:v>36406</c:v>
                </c:pt>
                <c:pt idx="44">
                  <c:v>35858</c:v>
                </c:pt>
                <c:pt idx="45">
                  <c:v>34070</c:v>
                </c:pt>
                <c:pt idx="46">
                  <c:v>30522</c:v>
                </c:pt>
                <c:pt idx="47">
                  <c:v>28393</c:v>
                </c:pt>
                <c:pt idx="48">
                  <c:v>25340</c:v>
                </c:pt>
                <c:pt idx="49">
                  <c:v>19619</c:v>
                </c:pt>
                <c:pt idx="50">
                  <c:v>18029</c:v>
                </c:pt>
                <c:pt idx="51">
                  <c:v>16067</c:v>
                </c:pt>
                <c:pt idx="52">
                  <c:v>14493</c:v>
                </c:pt>
                <c:pt idx="53">
                  <c:v>13429</c:v>
                </c:pt>
              </c:numCache>
            </c:numRef>
          </c:val>
          <c:smooth val="0"/>
        </c:ser>
        <c:dLbls>
          <c:showLegendKey val="0"/>
          <c:showVal val="0"/>
          <c:showCatName val="0"/>
          <c:showSerName val="0"/>
          <c:showPercent val="0"/>
          <c:showBubbleSize val="0"/>
        </c:dLbls>
        <c:marker val="1"/>
        <c:smooth val="0"/>
        <c:axId val="45140992"/>
        <c:axId val="45368448"/>
      </c:lineChart>
      <c:catAx>
        <c:axId val="4514099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5368448"/>
        <c:crosses val="autoZero"/>
        <c:auto val="1"/>
        <c:lblAlgn val="ctr"/>
        <c:lblOffset val="100"/>
        <c:tickLblSkip val="3"/>
        <c:noMultiLvlLbl val="0"/>
      </c:catAx>
      <c:valAx>
        <c:axId val="45368448"/>
        <c:scaling>
          <c:orientation val="minMax"/>
        </c:scaling>
        <c:delete val="0"/>
        <c:axPos val="l"/>
        <c:majorGridlines/>
        <c:title>
          <c:tx>
            <c:rich>
              <a:bodyPr/>
              <a:lstStyle/>
              <a:p>
                <a:pPr>
                  <a:defRPr/>
                </a:pPr>
                <a:r>
                  <a:rPr lang="en-US"/>
                  <a:t>per year</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140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a:t>
            </a:r>
            <a:r>
              <a:rPr lang="en-US" baseline="0"/>
              <a:t> Personal Pollution Abatement</a:t>
            </a:r>
            <a:endParaRPr lang="en-US"/>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CostPersPollutionAbate!$C$2:$BD$2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CostPersPollutionAbate!$C$3:$BD$3</c:f>
              <c:numCache>
                <c:formatCode>0.000000</c:formatCode>
                <c:ptCount val="54"/>
                <c:pt idx="0">
                  <c:v>0.51919888583343432</c:v>
                </c:pt>
                <c:pt idx="1">
                  <c:v>0.53728637376545962</c:v>
                </c:pt>
                <c:pt idx="2">
                  <c:v>0.55661218455256523</c:v>
                </c:pt>
                <c:pt idx="3">
                  <c:v>0.57873834280680259</c:v>
                </c:pt>
                <c:pt idx="4">
                  <c:v>0.59996720079269283</c:v>
                </c:pt>
                <c:pt idx="5">
                  <c:v>0.62163350643489157</c:v>
                </c:pt>
                <c:pt idx="6">
                  <c:v>0.64261621277357672</c:v>
                </c:pt>
                <c:pt idx="7">
                  <c:v>0.66132906155935312</c:v>
                </c:pt>
                <c:pt idx="8">
                  <c:v>0.67989924678956215</c:v>
                </c:pt>
                <c:pt idx="9">
                  <c:v>0.69823099399824073</c:v>
                </c:pt>
                <c:pt idx="10">
                  <c:v>0.71694979019858651</c:v>
                </c:pt>
                <c:pt idx="11">
                  <c:v>0.73328814648160912</c:v>
                </c:pt>
                <c:pt idx="12">
                  <c:v>0.73481446525721161</c:v>
                </c:pt>
                <c:pt idx="13">
                  <c:v>0.74984266637695185</c:v>
                </c:pt>
                <c:pt idx="14">
                  <c:v>0.76456879160140545</c:v>
                </c:pt>
                <c:pt idx="15">
                  <c:v>0.77923692819490831</c:v>
                </c:pt>
                <c:pt idx="16">
                  <c:v>0.7932541654168499</c:v>
                </c:pt>
                <c:pt idx="17">
                  <c:v>0.80788153617239711</c:v>
                </c:pt>
                <c:pt idx="18">
                  <c:v>0.82210394011996835</c:v>
                </c:pt>
                <c:pt idx="19">
                  <c:v>0.83573958432442808</c:v>
                </c:pt>
                <c:pt idx="20">
                  <c:v>0.88189997799006625</c:v>
                </c:pt>
                <c:pt idx="21">
                  <c:v>0.89401333174877418</c:v>
                </c:pt>
                <c:pt idx="22">
                  <c:v>0.90633425590766492</c:v>
                </c:pt>
                <c:pt idx="23">
                  <c:v>0.91941554646781032</c:v>
                </c:pt>
                <c:pt idx="24">
                  <c:v>0.93436201550267683</c:v>
                </c:pt>
                <c:pt idx="25">
                  <c:v>0.94893445138243415</c:v>
                </c:pt>
                <c:pt idx="26">
                  <c:v>0.96568692392622613</c:v>
                </c:pt>
                <c:pt idx="27">
                  <c:v>0.98281628690247269</c:v>
                </c:pt>
                <c:pt idx="28">
                  <c:v>1.0009928607886716</c:v>
                </c:pt>
                <c:pt idx="29">
                  <c:v>1.0171780128239101</c:v>
                </c:pt>
                <c:pt idx="30">
                  <c:v>1.0320634671967186</c:v>
                </c:pt>
                <c:pt idx="31">
                  <c:v>1.0326717979535003</c:v>
                </c:pt>
                <c:pt idx="32">
                  <c:v>1.0434002957156754</c:v>
                </c:pt>
                <c:pt idx="33">
                  <c:v>1.0582555366413819</c:v>
                </c:pt>
                <c:pt idx="34">
                  <c:v>1.0720324425164589</c:v>
                </c:pt>
                <c:pt idx="35">
                  <c:v>1.0853167719509571</c:v>
                </c:pt>
                <c:pt idx="36">
                  <c:v>1.0987822536046181</c:v>
                </c:pt>
                <c:pt idx="37">
                  <c:v>1.1119219156584206</c:v>
                </c:pt>
                <c:pt idx="38">
                  <c:v>1.1246495254359337</c:v>
                </c:pt>
                <c:pt idx="39">
                  <c:v>1.1376421622453305</c:v>
                </c:pt>
                <c:pt idx="40">
                  <c:v>1.1525172677336999</c:v>
                </c:pt>
                <c:pt idx="41">
                  <c:v>1.1787835127162583</c:v>
                </c:pt>
                <c:pt idx="42">
                  <c:v>1.2008237280821499</c:v>
                </c:pt>
                <c:pt idx="43">
                  <c:v>1.2202804434480417</c:v>
                </c:pt>
                <c:pt idx="44">
                  <c:v>1.2490367588139333</c:v>
                </c:pt>
                <c:pt idx="45">
                  <c:v>1.274752004179825</c:v>
                </c:pt>
                <c:pt idx="46">
                  <c:v>1.2293307495457169</c:v>
                </c:pt>
                <c:pt idx="47">
                  <c:v>1.2478420949116089</c:v>
                </c:pt>
                <c:pt idx="48">
                  <c:v>1.2384431492775001</c:v>
                </c:pt>
                <c:pt idx="49">
                  <c:v>1.2251558021433917</c:v>
                </c:pt>
                <c:pt idx="50">
                  <c:v>1.2116485260092833</c:v>
                </c:pt>
                <c:pt idx="51">
                  <c:v>1.2138724898751749</c:v>
                </c:pt>
                <c:pt idx="52">
                  <c:v>1.2023569237410667</c:v>
                </c:pt>
                <c:pt idx="53">
                  <c:v>1.2080205476069583</c:v>
                </c:pt>
              </c:numCache>
            </c:numRef>
          </c:val>
          <c:smooth val="0"/>
        </c:ser>
        <c:dLbls>
          <c:showLegendKey val="0"/>
          <c:showVal val="0"/>
          <c:showCatName val="0"/>
          <c:showSerName val="0"/>
          <c:showPercent val="0"/>
          <c:showBubbleSize val="0"/>
        </c:dLbls>
        <c:marker val="1"/>
        <c:smooth val="0"/>
        <c:axId val="45524096"/>
        <c:axId val="45526016"/>
      </c:lineChart>
      <c:catAx>
        <c:axId val="45524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5526016"/>
        <c:crosses val="autoZero"/>
        <c:auto val="1"/>
        <c:lblAlgn val="ctr"/>
        <c:lblOffset val="100"/>
        <c:tickLblSkip val="3"/>
        <c:noMultiLvlLbl val="0"/>
      </c:catAx>
      <c:valAx>
        <c:axId val="45526016"/>
        <c:scaling>
          <c:orientation val="minMax"/>
        </c:scaling>
        <c:delete val="0"/>
        <c:axPos val="l"/>
        <c:majorGridlines/>
        <c:title>
          <c:tx>
            <c:rich>
              <a:bodyPr/>
              <a:lstStyle/>
              <a:p>
                <a:pPr>
                  <a:defRPr/>
                </a:pPr>
                <a:r>
                  <a:rPr lang="en-US"/>
                  <a:t>Billion $</a:t>
                </a:r>
              </a:p>
            </c:rich>
          </c:tx>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524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Air Pollution Abatement</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CostPersPollutionAbate!$C$2:$BD$2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CostPersPollutionAbate!$C$4:$BD$4</c:f>
              <c:numCache>
                <c:formatCode>#,##0.000</c:formatCode>
                <c:ptCount val="54"/>
                <c:pt idx="0">
                  <c:v>754.96574999999996</c:v>
                </c:pt>
                <c:pt idx="1">
                  <c:v>1411.2824550000005</c:v>
                </c:pt>
                <c:pt idx="2">
                  <c:v>1458.1491600000004</c:v>
                </c:pt>
                <c:pt idx="3">
                  <c:v>1505.0158650000005</c:v>
                </c:pt>
                <c:pt idx="4">
                  <c:v>1551.8825700000004</c:v>
                </c:pt>
                <c:pt idx="5">
                  <c:v>1598.7492750000004</c:v>
                </c:pt>
                <c:pt idx="6">
                  <c:v>1645.6159800000005</c:v>
                </c:pt>
                <c:pt idx="7">
                  <c:v>1692.4826850000004</c:v>
                </c:pt>
                <c:pt idx="8">
                  <c:v>1739.3493900000005</c:v>
                </c:pt>
                <c:pt idx="9">
                  <c:v>1786.2160950000007</c:v>
                </c:pt>
                <c:pt idx="10">
                  <c:v>1833.0827999999965</c:v>
                </c:pt>
                <c:pt idx="11">
                  <c:v>2075.837614999999</c:v>
                </c:pt>
                <c:pt idx="12">
                  <c:v>2136.6924299999991</c:v>
                </c:pt>
                <c:pt idx="13">
                  <c:v>2197.5472449999988</c:v>
                </c:pt>
                <c:pt idx="14">
                  <c:v>2258.4020599999985</c:v>
                </c:pt>
                <c:pt idx="15">
                  <c:v>2319.2568749999991</c:v>
                </c:pt>
                <c:pt idx="16">
                  <c:v>2380.1116899999988</c:v>
                </c:pt>
                <c:pt idx="17">
                  <c:v>8184.417104999995</c:v>
                </c:pt>
                <c:pt idx="18">
                  <c:v>14275.098119999993</c:v>
                </c:pt>
                <c:pt idx="19">
                  <c:v>20652.154734999989</c:v>
                </c:pt>
                <c:pt idx="20">
                  <c:v>27315.586950000074</c:v>
                </c:pt>
                <c:pt idx="21">
                  <c:v>32781.480410000011</c:v>
                </c:pt>
                <c:pt idx="22">
                  <c:v>33452.309870000012</c:v>
                </c:pt>
                <c:pt idx="23">
                  <c:v>34123.139330000005</c:v>
                </c:pt>
                <c:pt idx="24">
                  <c:v>34793.968790000014</c:v>
                </c:pt>
                <c:pt idx="25">
                  <c:v>35464.798250000014</c:v>
                </c:pt>
                <c:pt idx="26">
                  <c:v>36135.627710000015</c:v>
                </c:pt>
                <c:pt idx="27">
                  <c:v>36806.457170000016</c:v>
                </c:pt>
                <c:pt idx="28">
                  <c:v>37477.28663000001</c:v>
                </c:pt>
                <c:pt idx="29">
                  <c:v>38148.116090000018</c:v>
                </c:pt>
                <c:pt idx="30">
                  <c:v>38818.945549999909</c:v>
                </c:pt>
                <c:pt idx="31">
                  <c:v>32906.079338370015</c:v>
                </c:pt>
                <c:pt idx="32">
                  <c:v>33106.775826740013</c:v>
                </c:pt>
                <c:pt idx="33">
                  <c:v>33307.472315110012</c:v>
                </c:pt>
                <c:pt idx="34">
                  <c:v>33508.168803480017</c:v>
                </c:pt>
                <c:pt idx="35">
                  <c:v>33708.865291850016</c:v>
                </c:pt>
                <c:pt idx="36">
                  <c:v>33909.561780220021</c:v>
                </c:pt>
                <c:pt idx="37">
                  <c:v>34110.258268590027</c:v>
                </c:pt>
                <c:pt idx="38">
                  <c:v>34310.954756960025</c:v>
                </c:pt>
                <c:pt idx="39">
                  <c:v>34511.651245330024</c:v>
                </c:pt>
                <c:pt idx="40">
                  <c:v>34712.347733699869</c:v>
                </c:pt>
                <c:pt idx="41">
                  <c:v>44582.56121625832</c:v>
                </c:pt>
                <c:pt idx="42">
                  <c:v>45473.745082149988</c:v>
                </c:pt>
                <c:pt idx="43">
                  <c:v>46364.928948041656</c:v>
                </c:pt>
                <c:pt idx="44">
                  <c:v>47256.112813933374</c:v>
                </c:pt>
                <c:pt idx="45">
                  <c:v>48147.296679825042</c:v>
                </c:pt>
                <c:pt idx="46">
                  <c:v>49038.480545716608</c:v>
                </c:pt>
                <c:pt idx="47">
                  <c:v>49929.66441160837</c:v>
                </c:pt>
                <c:pt idx="48">
                  <c:v>50820.848277500045</c:v>
                </c:pt>
                <c:pt idx="49">
                  <c:v>51712.032143391712</c:v>
                </c:pt>
                <c:pt idx="50">
                  <c:v>52603.21600928338</c:v>
                </c:pt>
                <c:pt idx="51">
                  <c:v>53494.399875175048</c:v>
                </c:pt>
                <c:pt idx="52">
                  <c:v>54385.583741066715</c:v>
                </c:pt>
                <c:pt idx="53">
                  <c:v>55276.76760695839</c:v>
                </c:pt>
              </c:numCache>
            </c:numRef>
          </c:val>
          <c:smooth val="0"/>
        </c:ser>
        <c:dLbls>
          <c:showLegendKey val="0"/>
          <c:showVal val="0"/>
          <c:showCatName val="0"/>
          <c:showSerName val="0"/>
          <c:showPercent val="0"/>
          <c:showBubbleSize val="0"/>
        </c:dLbls>
        <c:marker val="1"/>
        <c:smooth val="0"/>
        <c:axId val="45542016"/>
        <c:axId val="45634304"/>
      </c:lineChart>
      <c:catAx>
        <c:axId val="4554201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5634304"/>
        <c:crosses val="autoZero"/>
        <c:auto val="1"/>
        <c:lblAlgn val="ctr"/>
        <c:lblOffset val="100"/>
        <c:tickLblSkip val="3"/>
        <c:noMultiLvlLbl val="0"/>
      </c:catAx>
      <c:valAx>
        <c:axId val="45634304"/>
        <c:scaling>
          <c:orientation val="minMax"/>
        </c:scaling>
        <c:delete val="0"/>
        <c:axPos val="l"/>
        <c:majorGridlines/>
        <c:title>
          <c:tx>
            <c:rich>
              <a:bodyPr/>
              <a:lstStyle/>
              <a:p>
                <a:pPr>
                  <a:defRPr/>
                </a:pPr>
                <a:r>
                  <a:rPr lang="en-US"/>
                  <a:t>1000's of $</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542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Water Pollution Abatement</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CostPersPollutionAbate!$C$2:$BD$2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CostPersPollutionAbate!$C$5:$BD$5</c:f>
              <c:numCache>
                <c:formatCode>#,##0.000</c:formatCode>
                <c:ptCount val="54"/>
                <c:pt idx="0">
                  <c:v>309604325.92388576</c:v>
                </c:pt>
                <c:pt idx="1">
                  <c:v>318470315.03811848</c:v>
                </c:pt>
                <c:pt idx="2">
                  <c:v>327336304.15235126</c:v>
                </c:pt>
                <c:pt idx="3">
                  <c:v>336202293.26658398</c:v>
                </c:pt>
                <c:pt idx="4">
                  <c:v>345068282.3808167</c:v>
                </c:pt>
                <c:pt idx="5">
                  <c:v>353934271.49504948</c:v>
                </c:pt>
                <c:pt idx="6">
                  <c:v>362800260.60928226</c:v>
                </c:pt>
                <c:pt idx="7">
                  <c:v>371666249.72351497</c:v>
                </c:pt>
                <c:pt idx="8">
                  <c:v>380532238.83774769</c:v>
                </c:pt>
                <c:pt idx="9">
                  <c:v>389398227.95198053</c:v>
                </c:pt>
                <c:pt idx="10">
                  <c:v>398264217.06621367</c:v>
                </c:pt>
                <c:pt idx="11">
                  <c:v>388386099.49999994</c:v>
                </c:pt>
                <c:pt idx="12">
                  <c:v>398783328.99999994</c:v>
                </c:pt>
                <c:pt idx="13">
                  <c:v>409180558.49999994</c:v>
                </c:pt>
                <c:pt idx="14">
                  <c:v>419577787.99999994</c:v>
                </c:pt>
                <c:pt idx="15">
                  <c:v>429975017.49999994</c:v>
                </c:pt>
                <c:pt idx="16">
                  <c:v>440372246.99999994</c:v>
                </c:pt>
                <c:pt idx="17">
                  <c:v>450769476.49999994</c:v>
                </c:pt>
                <c:pt idx="18">
                  <c:v>461166705.99999994</c:v>
                </c:pt>
                <c:pt idx="19">
                  <c:v>471563935.50000042</c:v>
                </c:pt>
                <c:pt idx="20">
                  <c:v>481961164.99999994</c:v>
                </c:pt>
                <c:pt idx="21">
                  <c:v>492212724</c:v>
                </c:pt>
                <c:pt idx="22">
                  <c:v>503392683</c:v>
                </c:pt>
                <c:pt idx="23">
                  <c:v>514572641.99999994</c:v>
                </c:pt>
                <c:pt idx="24">
                  <c:v>525752600.99999994</c:v>
                </c:pt>
                <c:pt idx="25">
                  <c:v>536932559.99999988</c:v>
                </c:pt>
                <c:pt idx="26">
                  <c:v>548112518.99999988</c:v>
                </c:pt>
                <c:pt idx="27">
                  <c:v>559292477.99999976</c:v>
                </c:pt>
                <c:pt idx="28">
                  <c:v>570472436.99999976</c:v>
                </c:pt>
                <c:pt idx="29">
                  <c:v>581652395.99999964</c:v>
                </c:pt>
                <c:pt idx="30">
                  <c:v>592832354.99999952</c:v>
                </c:pt>
                <c:pt idx="31">
                  <c:v>598760239</c:v>
                </c:pt>
                <c:pt idx="32">
                  <c:v>607098748.00000012</c:v>
                </c:pt>
                <c:pt idx="33">
                  <c:v>615437257.00000012</c:v>
                </c:pt>
                <c:pt idx="34">
                  <c:v>623775766.00000012</c:v>
                </c:pt>
                <c:pt idx="35">
                  <c:v>632114275.00000012</c:v>
                </c:pt>
                <c:pt idx="36">
                  <c:v>640452784.00000024</c:v>
                </c:pt>
                <c:pt idx="37">
                  <c:v>648791293.00000024</c:v>
                </c:pt>
                <c:pt idx="38">
                  <c:v>657129802.00000024</c:v>
                </c:pt>
                <c:pt idx="39">
                  <c:v>665468311.00000036</c:v>
                </c:pt>
                <c:pt idx="40">
                  <c:v>673806820</c:v>
                </c:pt>
                <c:pt idx="41">
                  <c:v>681421351.5</c:v>
                </c:pt>
                <c:pt idx="42">
                  <c:v>689035883.00000012</c:v>
                </c:pt>
                <c:pt idx="43">
                  <c:v>696650414.50000012</c:v>
                </c:pt>
                <c:pt idx="44">
                  <c:v>704264946.00000012</c:v>
                </c:pt>
                <c:pt idx="45">
                  <c:v>727373807.50000012</c:v>
                </c:pt>
                <c:pt idx="46">
                  <c:v>733966669.00000024</c:v>
                </c:pt>
                <c:pt idx="47">
                  <c:v>740559530.50000036</c:v>
                </c:pt>
                <c:pt idx="48">
                  <c:v>755710401</c:v>
                </c:pt>
                <c:pt idx="49">
                  <c:v>739815970</c:v>
                </c:pt>
                <c:pt idx="50">
                  <c:v>741836310</c:v>
                </c:pt>
                <c:pt idx="51">
                  <c:v>744190990</c:v>
                </c:pt>
                <c:pt idx="52">
                  <c:v>746814840</c:v>
                </c:pt>
                <c:pt idx="53">
                  <c:v>751587280</c:v>
                </c:pt>
              </c:numCache>
            </c:numRef>
          </c:val>
          <c:smooth val="0"/>
        </c:ser>
        <c:dLbls>
          <c:showLegendKey val="0"/>
          <c:showVal val="0"/>
          <c:showCatName val="0"/>
          <c:showSerName val="0"/>
          <c:showPercent val="0"/>
          <c:showBubbleSize val="0"/>
        </c:dLbls>
        <c:marker val="1"/>
        <c:smooth val="0"/>
        <c:axId val="45674880"/>
        <c:axId val="45676800"/>
      </c:lineChart>
      <c:catAx>
        <c:axId val="456748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5676800"/>
        <c:crosses val="autoZero"/>
        <c:auto val="1"/>
        <c:lblAlgn val="ctr"/>
        <c:lblOffset val="100"/>
        <c:tickLblSkip val="3"/>
        <c:noMultiLvlLbl val="0"/>
      </c:catAx>
      <c:valAx>
        <c:axId val="45676800"/>
        <c:scaling>
          <c:orientation val="minMax"/>
        </c:scaling>
        <c:delete val="0"/>
        <c:axPos val="l"/>
        <c:majorGridlines/>
        <c:title>
          <c:tx>
            <c:rich>
              <a:bodyPr/>
              <a:lstStyle/>
              <a:p>
                <a:pPr>
                  <a:defRPr/>
                </a:pPr>
                <a:r>
                  <a:rPr lang="en-US"/>
                  <a:t>$</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674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Waste Disposal</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CostPersPollutionAbate!$C$2:$BD$2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CostPersPollutionAbate!$C$6:$BD$6</c:f>
              <c:numCache>
                <c:formatCode>#,##0.000</c:formatCode>
                <c:ptCount val="54"/>
                <c:pt idx="0">
                  <c:v>208839594.15954858</c:v>
                </c:pt>
                <c:pt idx="1">
                  <c:v>217404776.2723411</c:v>
                </c:pt>
                <c:pt idx="2">
                  <c:v>227817731.24021393</c:v>
                </c:pt>
                <c:pt idx="3">
                  <c:v>241031033.67521861</c:v>
                </c:pt>
                <c:pt idx="4">
                  <c:v>253347035.841876</c:v>
                </c:pt>
                <c:pt idx="5">
                  <c:v>266100485.66484213</c:v>
                </c:pt>
                <c:pt idx="6">
                  <c:v>278170336.18429446</c:v>
                </c:pt>
                <c:pt idx="7">
                  <c:v>287970329.15083814</c:v>
                </c:pt>
                <c:pt idx="8">
                  <c:v>297627658.56181437</c:v>
                </c:pt>
                <c:pt idx="9">
                  <c:v>307046549.95126021</c:v>
                </c:pt>
                <c:pt idx="10">
                  <c:v>316852490.33237278</c:v>
                </c:pt>
                <c:pt idx="11">
                  <c:v>326914209.36660922</c:v>
                </c:pt>
                <c:pt idx="12">
                  <c:v>333894443.82721162</c:v>
                </c:pt>
                <c:pt idx="13">
                  <c:v>338464560.63195187</c:v>
                </c:pt>
                <c:pt idx="14">
                  <c:v>342732601.54140562</c:v>
                </c:pt>
                <c:pt idx="15">
                  <c:v>346942653.81990832</c:v>
                </c:pt>
                <c:pt idx="16">
                  <c:v>350501806.72684985</c:v>
                </c:pt>
                <c:pt idx="17">
                  <c:v>354671093.1673972</c:v>
                </c:pt>
                <c:pt idx="18">
                  <c:v>358435412.79996836</c:v>
                </c:pt>
                <c:pt idx="19">
                  <c:v>361612972.68942773</c:v>
                </c:pt>
                <c:pt idx="20">
                  <c:v>366450212.0400663</c:v>
                </c:pt>
                <c:pt idx="21">
                  <c:v>369019127.3387742</c:v>
                </c:pt>
                <c:pt idx="22">
                  <c:v>369489263.03766483</c:v>
                </c:pt>
                <c:pt idx="23">
                  <c:v>370719765.13781023</c:v>
                </c:pt>
                <c:pt idx="24">
                  <c:v>373815445.71267694</c:v>
                </c:pt>
                <c:pt idx="25">
                  <c:v>376537093.13243425</c:v>
                </c:pt>
                <c:pt idx="26">
                  <c:v>381438777.21622616</c:v>
                </c:pt>
                <c:pt idx="27">
                  <c:v>386717351.73247284</c:v>
                </c:pt>
                <c:pt idx="28">
                  <c:v>393043137.15867174</c:v>
                </c:pt>
                <c:pt idx="29">
                  <c:v>397377500.7339105</c:v>
                </c:pt>
                <c:pt idx="30">
                  <c:v>400412166.6467191</c:v>
                </c:pt>
                <c:pt idx="31">
                  <c:v>401005479.61513031</c:v>
                </c:pt>
                <c:pt idx="32">
                  <c:v>403194771.88893515</c:v>
                </c:pt>
                <c:pt idx="33">
                  <c:v>409510807.32627183</c:v>
                </c:pt>
                <c:pt idx="34">
                  <c:v>414748507.71297866</c:v>
                </c:pt>
                <c:pt idx="35">
                  <c:v>419493631.65910679</c:v>
                </c:pt>
                <c:pt idx="36">
                  <c:v>424419907.82439792</c:v>
                </c:pt>
                <c:pt idx="37">
                  <c:v>429020364.38983035</c:v>
                </c:pt>
                <c:pt idx="38">
                  <c:v>433208768.67897344</c:v>
                </c:pt>
                <c:pt idx="39">
                  <c:v>437662200</c:v>
                </c:pt>
                <c:pt idx="40">
                  <c:v>443998100</c:v>
                </c:pt>
                <c:pt idx="41">
                  <c:v>452779600</c:v>
                </c:pt>
                <c:pt idx="42">
                  <c:v>466314100</c:v>
                </c:pt>
                <c:pt idx="43">
                  <c:v>477265100</c:v>
                </c:pt>
                <c:pt idx="44">
                  <c:v>497515700</c:v>
                </c:pt>
                <c:pt idx="45">
                  <c:v>499230900</c:v>
                </c:pt>
                <c:pt idx="46">
                  <c:v>446325600</c:v>
                </c:pt>
                <c:pt idx="47">
                  <c:v>457352900</c:v>
                </c:pt>
                <c:pt idx="48">
                  <c:v>431911900</c:v>
                </c:pt>
                <c:pt idx="49">
                  <c:v>433627800</c:v>
                </c:pt>
                <c:pt idx="50">
                  <c:v>417209000</c:v>
                </c:pt>
                <c:pt idx="51">
                  <c:v>416187100</c:v>
                </c:pt>
                <c:pt idx="52">
                  <c:v>401156500</c:v>
                </c:pt>
                <c:pt idx="53">
                  <c:v>401156500</c:v>
                </c:pt>
              </c:numCache>
            </c:numRef>
          </c:val>
          <c:smooth val="0"/>
        </c:ser>
        <c:dLbls>
          <c:showLegendKey val="0"/>
          <c:showVal val="0"/>
          <c:showCatName val="0"/>
          <c:showSerName val="0"/>
          <c:showPercent val="0"/>
          <c:showBubbleSize val="0"/>
        </c:dLbls>
        <c:marker val="1"/>
        <c:smooth val="0"/>
        <c:axId val="45766528"/>
        <c:axId val="45780992"/>
      </c:lineChart>
      <c:catAx>
        <c:axId val="457665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5780992"/>
        <c:crosses val="autoZero"/>
        <c:auto val="1"/>
        <c:lblAlgn val="ctr"/>
        <c:lblOffset val="100"/>
        <c:tickLblSkip val="3"/>
        <c:noMultiLvlLbl val="0"/>
      </c:catAx>
      <c:valAx>
        <c:axId val="45780992"/>
        <c:scaling>
          <c:orientation val="minMax"/>
        </c:scaling>
        <c:delete val="0"/>
        <c:axPos val="l"/>
        <c:majorGridlines/>
        <c:title>
          <c:tx>
            <c:rich>
              <a:bodyPr/>
              <a:lstStyle/>
              <a:p>
                <a:pPr>
                  <a:defRPr/>
                </a:pPr>
                <a:r>
                  <a:rPr lang="en-US"/>
                  <a:t>$</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766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Value of Volunteer Work</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VolunteerWork!$C$2:$BD$2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VolunteerWork!$C$3:$BD$3</c:f>
              <c:numCache>
                <c:formatCode>0.000000</c:formatCode>
                <c:ptCount val="54"/>
                <c:pt idx="0">
                  <c:v>1.2079800378732706</c:v>
                </c:pt>
                <c:pt idx="1">
                  <c:v>1.2324267909686819</c:v>
                </c:pt>
                <c:pt idx="2">
                  <c:v>1.2661865928623453</c:v>
                </c:pt>
                <c:pt idx="3">
                  <c:v>1.3139159679533865</c:v>
                </c:pt>
                <c:pt idx="4">
                  <c:v>1.3550486001456663</c:v>
                </c:pt>
                <c:pt idx="5">
                  <c:v>1.3969573197378005</c:v>
                </c:pt>
                <c:pt idx="6">
                  <c:v>1.4338214712308814</c:v>
                </c:pt>
                <c:pt idx="7">
                  <c:v>1.4578801806263657</c:v>
                </c:pt>
                <c:pt idx="8">
                  <c:v>1.4803867152221415</c:v>
                </c:pt>
                <c:pt idx="9">
                  <c:v>1.5009530313182811</c:v>
                </c:pt>
                <c:pt idx="10">
                  <c:v>1.5226834785142025</c:v>
                </c:pt>
                <c:pt idx="11">
                  <c:v>1.5591595863073562</c:v>
                </c:pt>
                <c:pt idx="12">
                  <c:v>1.5805019898033503</c:v>
                </c:pt>
                <c:pt idx="13">
                  <c:v>1.5902030823015294</c:v>
                </c:pt>
                <c:pt idx="14">
                  <c:v>1.5983519999999998</c:v>
                </c:pt>
                <c:pt idx="15">
                  <c:v>1.6155055999999997</c:v>
                </c:pt>
                <c:pt idx="16">
                  <c:v>1.6326591999999998</c:v>
                </c:pt>
                <c:pt idx="17">
                  <c:v>1.6498127999999996</c:v>
                </c:pt>
                <c:pt idx="18">
                  <c:v>1.6669664</c:v>
                </c:pt>
                <c:pt idx="19">
                  <c:v>1.6841199999999998</c:v>
                </c:pt>
                <c:pt idx="20">
                  <c:v>1.7012735999999997</c:v>
                </c:pt>
                <c:pt idx="21">
                  <c:v>1.7184271999999998</c:v>
                </c:pt>
                <c:pt idx="22">
                  <c:v>1.7355807999999997</c:v>
                </c:pt>
                <c:pt idx="23">
                  <c:v>1.7527343999999998</c:v>
                </c:pt>
                <c:pt idx="24">
                  <c:v>1.7698879999999997</c:v>
                </c:pt>
                <c:pt idx="25">
                  <c:v>1.7870415999999998</c:v>
                </c:pt>
                <c:pt idx="26">
                  <c:v>1.8041951999999999</c:v>
                </c:pt>
                <c:pt idx="27">
                  <c:v>1.8213487999999998</c:v>
                </c:pt>
                <c:pt idx="28">
                  <c:v>1.8385023999999999</c:v>
                </c:pt>
                <c:pt idx="29">
                  <c:v>1.8556559999999998</c:v>
                </c:pt>
                <c:pt idx="30">
                  <c:v>1.9402443076923073</c:v>
                </c:pt>
                <c:pt idx="31">
                  <c:v>2.0248326153846152</c:v>
                </c:pt>
                <c:pt idx="32">
                  <c:v>2.1094209230769225</c:v>
                </c:pt>
                <c:pt idx="33">
                  <c:v>2.1940092307692307</c:v>
                </c:pt>
                <c:pt idx="34">
                  <c:v>2.278597538461538</c:v>
                </c:pt>
                <c:pt idx="35">
                  <c:v>2.3631858461538457</c:v>
                </c:pt>
                <c:pt idx="36">
                  <c:v>2.4477741538461535</c:v>
                </c:pt>
                <c:pt idx="37">
                  <c:v>2.5323624615384612</c:v>
                </c:pt>
                <c:pt idx="38">
                  <c:v>2.616950769230769</c:v>
                </c:pt>
                <c:pt idx="39">
                  <c:v>2.7015390769230763</c:v>
                </c:pt>
                <c:pt idx="40">
                  <c:v>2.786127384615384</c:v>
                </c:pt>
                <c:pt idx="41">
                  <c:v>2.8707156923076917</c:v>
                </c:pt>
                <c:pt idx="42">
                  <c:v>3.4949039999999996</c:v>
                </c:pt>
                <c:pt idx="43">
                  <c:v>2.6991359999999998</c:v>
                </c:pt>
                <c:pt idx="44">
                  <c:v>2.671872</c:v>
                </c:pt>
                <c:pt idx="45">
                  <c:v>4.019736</c:v>
                </c:pt>
                <c:pt idx="46">
                  <c:v>2.8371599999999999</c:v>
                </c:pt>
                <c:pt idx="47">
                  <c:v>3.2955360000000002</c:v>
                </c:pt>
                <c:pt idx="48">
                  <c:v>3.6908639999999995</c:v>
                </c:pt>
                <c:pt idx="49">
                  <c:v>3.2273759999999996</c:v>
                </c:pt>
                <c:pt idx="50">
                  <c:v>2.970072</c:v>
                </c:pt>
                <c:pt idx="51">
                  <c:v>3.0382319999999998</c:v>
                </c:pt>
                <c:pt idx="52">
                  <c:v>3.2444159999999997</c:v>
                </c:pt>
                <c:pt idx="53">
                  <c:v>3.7796820864155998</c:v>
                </c:pt>
              </c:numCache>
            </c:numRef>
          </c:val>
          <c:smooth val="0"/>
        </c:ser>
        <c:dLbls>
          <c:showLegendKey val="0"/>
          <c:showVal val="0"/>
          <c:showCatName val="0"/>
          <c:showSerName val="0"/>
          <c:showPercent val="0"/>
          <c:showBubbleSize val="0"/>
        </c:dLbls>
        <c:marker val="1"/>
        <c:smooth val="0"/>
        <c:axId val="45862912"/>
        <c:axId val="45864832"/>
      </c:lineChart>
      <c:catAx>
        <c:axId val="45862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5864832"/>
        <c:crosses val="autoZero"/>
        <c:auto val="1"/>
        <c:lblAlgn val="ctr"/>
        <c:lblOffset val="100"/>
        <c:tickLblSkip val="3"/>
        <c:noMultiLvlLbl val="0"/>
      </c:catAx>
      <c:valAx>
        <c:axId val="45864832"/>
        <c:scaling>
          <c:orientation val="minMax"/>
        </c:scaling>
        <c:delete val="0"/>
        <c:axPos val="l"/>
        <c:majorGridlines/>
        <c:title>
          <c:tx>
            <c:rich>
              <a:bodyPr/>
              <a:lstStyle/>
              <a:p>
                <a:pPr>
                  <a:defRPr/>
                </a:pPr>
                <a:r>
                  <a:rPr lang="en-US"/>
                  <a:t>Billion $</a:t>
                </a:r>
              </a:p>
            </c:rich>
          </c:tx>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862912"/>
        <c:crosses val="autoZero"/>
        <c:crossBetween val="between"/>
      </c:valAx>
    </c:plotArea>
    <c:legend>
      <c:legendPos val="r"/>
      <c:overlay val="0"/>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Maryland Total Volunteer</a:t>
            </a:r>
            <a:r>
              <a:rPr lang="en-US" baseline="0"/>
              <a:t> Hours</a:t>
            </a:r>
            <a:endParaRPr lang="en-US"/>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VolunteerWork!$C$2:$BD$2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VolunteerWork!$C$4:$BD$4</c:f>
              <c:numCache>
                <c:formatCode>General</c:formatCode>
                <c:ptCount val="54"/>
                <c:pt idx="0">
                  <c:v>70.890847293032309</c:v>
                </c:pt>
                <c:pt idx="1">
                  <c:v>72.325515901917953</c:v>
                </c:pt>
                <c:pt idx="2">
                  <c:v>74.306724933236225</c:v>
                </c:pt>
                <c:pt idx="3">
                  <c:v>77.107744598203439</c:v>
                </c:pt>
                <c:pt idx="4">
                  <c:v>79.521631463947557</c:v>
                </c:pt>
                <c:pt idx="5">
                  <c:v>81.981063364894396</c:v>
                </c:pt>
                <c:pt idx="6">
                  <c:v>84.144452537023554</c:v>
                </c:pt>
                <c:pt idx="7">
                  <c:v>85.556348628307845</c:v>
                </c:pt>
                <c:pt idx="8">
                  <c:v>86.877154649186707</c:v>
                </c:pt>
                <c:pt idx="9">
                  <c:v>88.084098082058759</c:v>
                </c:pt>
                <c:pt idx="10">
                  <c:v>89.3593590677349</c:v>
                </c:pt>
                <c:pt idx="11">
                  <c:v>91.49997572226269</c:v>
                </c:pt>
                <c:pt idx="12">
                  <c:v>92.752464190337463</c:v>
                </c:pt>
                <c:pt idx="13">
                  <c:v>93.321777130371444</c:v>
                </c:pt>
                <c:pt idx="14">
                  <c:v>93.8</c:v>
                </c:pt>
                <c:pt idx="15">
                  <c:v>94.806666666666658</c:v>
                </c:pt>
                <c:pt idx="16">
                  <c:v>95.813333333333333</c:v>
                </c:pt>
                <c:pt idx="17">
                  <c:v>96.82</c:v>
                </c:pt>
                <c:pt idx="18">
                  <c:v>97.826666666666668</c:v>
                </c:pt>
                <c:pt idx="19">
                  <c:v>98.833333333333329</c:v>
                </c:pt>
                <c:pt idx="20">
                  <c:v>99.839999999999989</c:v>
                </c:pt>
                <c:pt idx="21">
                  <c:v>100.84666666666666</c:v>
                </c:pt>
                <c:pt idx="22">
                  <c:v>101.85333333333332</c:v>
                </c:pt>
                <c:pt idx="23">
                  <c:v>102.86</c:v>
                </c:pt>
                <c:pt idx="24">
                  <c:v>103.86666666666666</c:v>
                </c:pt>
                <c:pt idx="25">
                  <c:v>104.87333333333332</c:v>
                </c:pt>
                <c:pt idx="26">
                  <c:v>105.88</c:v>
                </c:pt>
                <c:pt idx="27">
                  <c:v>106.88666666666666</c:v>
                </c:pt>
                <c:pt idx="28">
                  <c:v>107.89333333333333</c:v>
                </c:pt>
                <c:pt idx="29">
                  <c:v>108.89999999999999</c:v>
                </c:pt>
                <c:pt idx="30">
                  <c:v>113.86410256410255</c:v>
                </c:pt>
                <c:pt idx="31">
                  <c:v>118.82820512820511</c:v>
                </c:pt>
                <c:pt idx="32">
                  <c:v>123.79230769230767</c:v>
                </c:pt>
                <c:pt idx="33">
                  <c:v>128.75641025641025</c:v>
                </c:pt>
                <c:pt idx="34">
                  <c:v>133.72051282051279</c:v>
                </c:pt>
                <c:pt idx="35">
                  <c:v>138.68461538461537</c:v>
                </c:pt>
                <c:pt idx="36">
                  <c:v>143.64871794871794</c:v>
                </c:pt>
                <c:pt idx="37">
                  <c:v>148.61282051282049</c:v>
                </c:pt>
                <c:pt idx="38">
                  <c:v>153.57692307692307</c:v>
                </c:pt>
                <c:pt idx="39">
                  <c:v>158.54102564102561</c:v>
                </c:pt>
                <c:pt idx="40">
                  <c:v>163.50512820512819</c:v>
                </c:pt>
                <c:pt idx="41">
                  <c:v>168.46923076923076</c:v>
                </c:pt>
                <c:pt idx="42">
                  <c:v>205.1</c:v>
                </c:pt>
                <c:pt idx="43">
                  <c:v>158.4</c:v>
                </c:pt>
                <c:pt idx="44">
                  <c:v>156.80000000000001</c:v>
                </c:pt>
                <c:pt idx="45">
                  <c:v>235.9</c:v>
                </c:pt>
                <c:pt idx="46">
                  <c:v>166.5</c:v>
                </c:pt>
                <c:pt idx="47">
                  <c:v>193.4</c:v>
                </c:pt>
                <c:pt idx="48">
                  <c:v>216.6</c:v>
                </c:pt>
                <c:pt idx="49">
                  <c:v>189.4</c:v>
                </c:pt>
                <c:pt idx="50">
                  <c:v>174.3</c:v>
                </c:pt>
                <c:pt idx="51">
                  <c:v>178.3</c:v>
                </c:pt>
                <c:pt idx="52">
                  <c:v>190.4</c:v>
                </c:pt>
                <c:pt idx="53">
                  <c:v>221.81232901499999</c:v>
                </c:pt>
              </c:numCache>
            </c:numRef>
          </c:val>
          <c:smooth val="0"/>
        </c:ser>
        <c:dLbls>
          <c:showLegendKey val="0"/>
          <c:showVal val="0"/>
          <c:showCatName val="0"/>
          <c:showSerName val="0"/>
          <c:showPercent val="0"/>
          <c:showBubbleSize val="0"/>
        </c:dLbls>
        <c:marker val="1"/>
        <c:smooth val="0"/>
        <c:axId val="45967232"/>
        <c:axId val="45969408"/>
      </c:lineChart>
      <c:catAx>
        <c:axId val="4596723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5969408"/>
        <c:crosses val="autoZero"/>
        <c:auto val="1"/>
        <c:lblAlgn val="ctr"/>
        <c:lblOffset val="100"/>
        <c:tickLblSkip val="3"/>
        <c:noMultiLvlLbl val="0"/>
      </c:catAx>
      <c:valAx>
        <c:axId val="45969408"/>
        <c:scaling>
          <c:orientation val="minMax"/>
        </c:scaling>
        <c:delete val="0"/>
        <c:axPos val="l"/>
        <c:majorGridlines/>
        <c:title>
          <c:tx>
            <c:rich>
              <a:bodyPr/>
              <a:lstStyle/>
              <a:p>
                <a:pPr>
                  <a:defRPr/>
                </a:pPr>
                <a:r>
                  <a:rPr lang="en-US"/>
                  <a:t>million hours</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967232"/>
        <c:crosses val="autoZero"/>
        <c:crossBetween val="between"/>
      </c:valAx>
    </c:plotArea>
    <c:legend>
      <c:legendPos val="r"/>
      <c:overlay val="0"/>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a:t>
            </a:r>
            <a:r>
              <a:rPr lang="en-US" baseline="0"/>
              <a:t> Lost Leisure Time</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CostLeisureTime!$C$2:$BD$2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CostLeisureTime!$C$3:$BD$3</c:f>
              <c:numCache>
                <c:formatCode>0.000000</c:formatCode>
                <c:ptCount val="54"/>
                <c:pt idx="0">
                  <c:v>0.2088979358837019</c:v>
                </c:pt>
                <c:pt idx="1">
                  <c:v>0.19315321270357158</c:v>
                </c:pt>
                <c:pt idx="2">
                  <c:v>0.18279821945212554</c:v>
                </c:pt>
                <c:pt idx="3">
                  <c:v>0.16519311120551999</c:v>
                </c:pt>
                <c:pt idx="4">
                  <c:v>0.14896362553135317</c:v>
                </c:pt>
                <c:pt idx="5">
                  <c:v>0.12882811097784289</c:v>
                </c:pt>
                <c:pt idx="6">
                  <c:v>0.10429389586919496</c:v>
                </c:pt>
                <c:pt idx="7">
                  <c:v>7.3506762710479581E-2</c:v>
                </c:pt>
                <c:pt idx="8">
                  <c:v>3.9131378321134974E-2</c:v>
                </c:pt>
                <c:pt idx="9">
                  <c:v>0</c:v>
                </c:pt>
                <c:pt idx="10">
                  <c:v>4.4587452319075425E-2</c:v>
                </c:pt>
                <c:pt idx="11">
                  <c:v>9.2873375090192778E-2</c:v>
                </c:pt>
                <c:pt idx="12">
                  <c:v>0.14840805641095664</c:v>
                </c:pt>
                <c:pt idx="13">
                  <c:v>0.2073680602673757</c:v>
                </c:pt>
                <c:pt idx="14">
                  <c:v>0.53944765143652307</c:v>
                </c:pt>
                <c:pt idx="15">
                  <c:v>0.84829014039135431</c:v>
                </c:pt>
                <c:pt idx="16">
                  <c:v>1.2254389397067191</c:v>
                </c:pt>
                <c:pt idx="17">
                  <c:v>1.6495748370724748</c:v>
                </c:pt>
                <c:pt idx="18">
                  <c:v>2.1516445651293861</c:v>
                </c:pt>
                <c:pt idx="19">
                  <c:v>2.5818570681636404</c:v>
                </c:pt>
                <c:pt idx="20">
                  <c:v>2.6327865685033016</c:v>
                </c:pt>
                <c:pt idx="21">
                  <c:v>2.7181124455068115</c:v>
                </c:pt>
                <c:pt idx="22">
                  <c:v>2.824263227804034</c:v>
                </c:pt>
                <c:pt idx="23">
                  <c:v>3.0546262271138676</c:v>
                </c:pt>
                <c:pt idx="24">
                  <c:v>3.4374855121887049</c:v>
                </c:pt>
                <c:pt idx="25">
                  <c:v>3.7385293737460361</c:v>
                </c:pt>
                <c:pt idx="26">
                  <c:v>4.1073609940128462</c:v>
                </c:pt>
                <c:pt idx="27">
                  <c:v>4.4267438347783079</c:v>
                </c:pt>
                <c:pt idx="28">
                  <c:v>4.766188769552171</c:v>
                </c:pt>
                <c:pt idx="29">
                  <c:v>5.0703444697690321</c:v>
                </c:pt>
                <c:pt idx="30">
                  <c:v>5.2840752173180761</c:v>
                </c:pt>
                <c:pt idx="31">
                  <c:v>5.3454777328343983</c:v>
                </c:pt>
                <c:pt idx="32">
                  <c:v>5.5932715122760239</c:v>
                </c:pt>
                <c:pt idx="33">
                  <c:v>5.7756972503593946</c:v>
                </c:pt>
                <c:pt idx="34">
                  <c:v>6.1133859792492586</c:v>
                </c:pt>
                <c:pt idx="35">
                  <c:v>6.3822679128525381</c:v>
                </c:pt>
                <c:pt idx="36">
                  <c:v>6.7297108529672087</c:v>
                </c:pt>
                <c:pt idx="37">
                  <c:v>7.1614454833457897</c:v>
                </c:pt>
                <c:pt idx="38">
                  <c:v>7.7027184571288849</c:v>
                </c:pt>
                <c:pt idx="39">
                  <c:v>8.1982452564874215</c:v>
                </c:pt>
                <c:pt idx="40">
                  <c:v>8.8447651044176574</c:v>
                </c:pt>
                <c:pt idx="41">
                  <c:v>9.1763247099515102</c:v>
                </c:pt>
                <c:pt idx="42">
                  <c:v>9.5626555115856391</c:v>
                </c:pt>
                <c:pt idx="43">
                  <c:v>9.7465638105088317</c:v>
                </c:pt>
                <c:pt idx="44">
                  <c:v>10.297742100528694</c:v>
                </c:pt>
                <c:pt idx="45">
                  <c:v>10.816533503849056</c:v>
                </c:pt>
                <c:pt idx="46">
                  <c:v>11.396709759544107</c:v>
                </c:pt>
                <c:pt idx="47">
                  <c:v>11.951557029519636</c:v>
                </c:pt>
                <c:pt idx="48">
                  <c:v>11.998954952197627</c:v>
                </c:pt>
                <c:pt idx="49">
                  <c:v>12.276771190349258</c:v>
                </c:pt>
                <c:pt idx="50">
                  <c:v>12.652280501341961</c:v>
                </c:pt>
                <c:pt idx="51">
                  <c:v>12.855804157972807</c:v>
                </c:pt>
                <c:pt idx="52">
                  <c:v>13.299099252145449</c:v>
                </c:pt>
                <c:pt idx="53">
                  <c:v>13.204824280405093</c:v>
                </c:pt>
              </c:numCache>
            </c:numRef>
          </c:val>
          <c:smooth val="0"/>
        </c:ser>
        <c:dLbls>
          <c:showLegendKey val="0"/>
          <c:showVal val="0"/>
          <c:showCatName val="0"/>
          <c:showSerName val="0"/>
          <c:showPercent val="0"/>
          <c:showBubbleSize val="0"/>
        </c:dLbls>
        <c:marker val="1"/>
        <c:smooth val="0"/>
        <c:axId val="46154112"/>
        <c:axId val="46156032"/>
      </c:lineChart>
      <c:catAx>
        <c:axId val="46154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6156032"/>
        <c:crosses val="autoZero"/>
        <c:auto val="1"/>
        <c:lblAlgn val="ctr"/>
        <c:lblOffset val="100"/>
        <c:tickLblSkip val="3"/>
        <c:noMultiLvlLbl val="0"/>
      </c:catAx>
      <c:valAx>
        <c:axId val="46156032"/>
        <c:scaling>
          <c:orientation val="minMax"/>
        </c:scaling>
        <c:delete val="0"/>
        <c:axPos val="l"/>
        <c:majorGridlines/>
        <c:title>
          <c:tx>
            <c:rich>
              <a:bodyPr/>
              <a:lstStyle/>
              <a:p>
                <a:pPr>
                  <a:defRPr/>
                </a:pPr>
                <a:r>
                  <a:rPr lang="en-US"/>
                  <a:t>Billion $</a:t>
                </a:r>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154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Lost Leisure Time per Unconstrained Worker</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CostLeisureTime!$C$2:$BD$2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CostLeisureTime!$C$4:$BD$4</c:f>
              <c:numCache>
                <c:formatCode>0</c:formatCode>
                <c:ptCount val="54"/>
                <c:pt idx="0">
                  <c:v>24.171525037384527</c:v>
                </c:pt>
                <c:pt idx="1">
                  <c:v>21.475049987397597</c:v>
                </c:pt>
                <c:pt idx="2">
                  <c:v>18.781268718679257</c:v>
                </c:pt>
                <c:pt idx="3">
                  <c:v>16.090178540139277</c:v>
                </c:pt>
                <c:pt idx="4">
                  <c:v>13.401776763376347</c:v>
                </c:pt>
                <c:pt idx="5">
                  <c:v>10.716060702673985</c:v>
                </c:pt>
                <c:pt idx="6">
                  <c:v>8.0330276749991754</c:v>
                </c:pt>
                <c:pt idx="7">
                  <c:v>5.3526749999996355</c:v>
                </c:pt>
                <c:pt idx="8">
                  <c:v>2.6749999999997272</c:v>
                </c:pt>
                <c:pt idx="9">
                  <c:v>0</c:v>
                </c:pt>
                <c:pt idx="10">
                  <c:v>2.75</c:v>
                </c:pt>
                <c:pt idx="11">
                  <c:v>5.5</c:v>
                </c:pt>
                <c:pt idx="12">
                  <c:v>8.25</c:v>
                </c:pt>
                <c:pt idx="13">
                  <c:v>11</c:v>
                </c:pt>
                <c:pt idx="14">
                  <c:v>29</c:v>
                </c:pt>
                <c:pt idx="15">
                  <c:v>47</c:v>
                </c:pt>
                <c:pt idx="16">
                  <c:v>65</c:v>
                </c:pt>
                <c:pt idx="17">
                  <c:v>83</c:v>
                </c:pt>
                <c:pt idx="18">
                  <c:v>101</c:v>
                </c:pt>
                <c:pt idx="19">
                  <c:v>119</c:v>
                </c:pt>
                <c:pt idx="20">
                  <c:v>122</c:v>
                </c:pt>
                <c:pt idx="21">
                  <c:v>125</c:v>
                </c:pt>
                <c:pt idx="22">
                  <c:v>128</c:v>
                </c:pt>
                <c:pt idx="23">
                  <c:v>131</c:v>
                </c:pt>
                <c:pt idx="24">
                  <c:v>134</c:v>
                </c:pt>
                <c:pt idx="25">
                  <c:v>137</c:v>
                </c:pt>
                <c:pt idx="26">
                  <c:v>140</c:v>
                </c:pt>
                <c:pt idx="27">
                  <c:v>143</c:v>
                </c:pt>
                <c:pt idx="28">
                  <c:v>146</c:v>
                </c:pt>
                <c:pt idx="29">
                  <c:v>149</c:v>
                </c:pt>
                <c:pt idx="30">
                  <c:v>154.19999999999982</c:v>
                </c:pt>
                <c:pt idx="31">
                  <c:v>159.39999999999964</c:v>
                </c:pt>
                <c:pt idx="32">
                  <c:v>164.59999999999945</c:v>
                </c:pt>
                <c:pt idx="33">
                  <c:v>169.79999999999927</c:v>
                </c:pt>
                <c:pt idx="34">
                  <c:v>174.99999999999909</c:v>
                </c:pt>
                <c:pt idx="35">
                  <c:v>180.19999999999891</c:v>
                </c:pt>
                <c:pt idx="36">
                  <c:v>185.39999999999873</c:v>
                </c:pt>
                <c:pt idx="37">
                  <c:v>190.59999999999854</c:v>
                </c:pt>
                <c:pt idx="38">
                  <c:v>195.79999999999836</c:v>
                </c:pt>
                <c:pt idx="39">
                  <c:v>200.99999999999818</c:v>
                </c:pt>
                <c:pt idx="40">
                  <c:v>206.199999999998</c:v>
                </c:pt>
                <c:pt idx="41">
                  <c:v>211.39999999999782</c:v>
                </c:pt>
                <c:pt idx="42">
                  <c:v>216.59999999999764</c:v>
                </c:pt>
                <c:pt idx="43">
                  <c:v>219.79999999999745</c:v>
                </c:pt>
                <c:pt idx="44">
                  <c:v>222.99999999999727</c:v>
                </c:pt>
                <c:pt idx="45">
                  <c:v>226.19999999999709</c:v>
                </c:pt>
                <c:pt idx="46">
                  <c:v>229.39999999999691</c:v>
                </c:pt>
                <c:pt idx="47">
                  <c:v>232.59999999999673</c:v>
                </c:pt>
                <c:pt idx="48">
                  <c:v>235.79999999999654</c:v>
                </c:pt>
                <c:pt idx="49">
                  <c:v>239</c:v>
                </c:pt>
                <c:pt idx="50">
                  <c:v>242.19999999999618</c:v>
                </c:pt>
                <c:pt idx="51">
                  <c:v>245.399999999996</c:v>
                </c:pt>
                <c:pt idx="52">
                  <c:v>248.59999999999582</c:v>
                </c:pt>
                <c:pt idx="53">
                  <c:v>251.79999999999563</c:v>
                </c:pt>
              </c:numCache>
            </c:numRef>
          </c:val>
          <c:smooth val="0"/>
        </c:ser>
        <c:dLbls>
          <c:showLegendKey val="0"/>
          <c:showVal val="0"/>
          <c:showCatName val="0"/>
          <c:showSerName val="0"/>
          <c:showPercent val="0"/>
          <c:showBubbleSize val="0"/>
        </c:dLbls>
        <c:marker val="1"/>
        <c:smooth val="0"/>
        <c:axId val="46192512"/>
        <c:axId val="46477312"/>
      </c:lineChart>
      <c:catAx>
        <c:axId val="461925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6477312"/>
        <c:crosses val="autoZero"/>
        <c:auto val="1"/>
        <c:lblAlgn val="ctr"/>
        <c:lblOffset val="100"/>
        <c:tickLblSkip val="3"/>
        <c:noMultiLvlLbl val="0"/>
      </c:catAx>
      <c:valAx>
        <c:axId val="46477312"/>
        <c:scaling>
          <c:orientation val="minMax"/>
        </c:scaling>
        <c:delete val="0"/>
        <c:axPos val="l"/>
        <c:majorGridlines/>
        <c:title>
          <c:tx>
            <c:rich>
              <a:bodyPr/>
              <a:lstStyle/>
              <a:p>
                <a:pPr>
                  <a:defRPr/>
                </a:pPr>
                <a:r>
                  <a:rPr lang="en-US"/>
                  <a:t>hours per worker per year</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192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Total Hours of Leisure Time Lost</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CostLeisureTime!$C$2:$BD$2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CostLeisureTime!$C$5:$BD$5</c:f>
              <c:numCache>
                <c:formatCode>#,##0</c:formatCode>
                <c:ptCount val="54"/>
                <c:pt idx="0">
                  <c:v>31796039.722559083</c:v>
                </c:pt>
                <c:pt idx="1">
                  <c:v>28508170.198832024</c:v>
                </c:pt>
                <c:pt idx="2">
                  <c:v>25895950.640155882</c:v>
                </c:pt>
                <c:pt idx="3">
                  <c:v>22980104.144966569</c:v>
                </c:pt>
                <c:pt idx="4">
                  <c:v>19829071.707188364</c:v>
                </c:pt>
                <c:pt idx="5">
                  <c:v>16448833.943807082</c:v>
                </c:pt>
                <c:pt idx="6">
                  <c:v>12735208.362399757</c:v>
                </c:pt>
                <c:pt idx="7">
                  <c:v>8628283.7533584256</c:v>
                </c:pt>
                <c:pt idx="8">
                  <c:v>4386350.2723918455</c:v>
                </c:pt>
                <c:pt idx="9">
                  <c:v>0</c:v>
                </c:pt>
                <c:pt idx="10">
                  <c:v>4584587.3370386576</c:v>
                </c:pt>
                <c:pt idx="11">
                  <c:v>9304428.7638497408</c:v>
                </c:pt>
                <c:pt idx="12">
                  <c:v>14186182.750034207</c:v>
                </c:pt>
                <c:pt idx="13">
                  <c:v>19151517.744326632</c:v>
                </c:pt>
                <c:pt idx="14">
                  <c:v>50429769.30635111</c:v>
                </c:pt>
                <c:pt idx="15">
                  <c:v>79973960.580415219</c:v>
                </c:pt>
                <c:pt idx="16">
                  <c:v>111746933.78108928</c:v>
                </c:pt>
                <c:pt idx="17">
                  <c:v>147630002.46325809</c:v>
                </c:pt>
                <c:pt idx="18">
                  <c:v>187675966.64238489</c:v>
                </c:pt>
                <c:pt idx="19">
                  <c:v>226933720.00039986</c:v>
                </c:pt>
                <c:pt idx="20">
                  <c:v>234239113.17180204</c:v>
                </c:pt>
                <c:pt idx="21">
                  <c:v>240913032.00807646</c:v>
                </c:pt>
                <c:pt idx="22">
                  <c:v>245930193.80278295</c:v>
                </c:pt>
                <c:pt idx="23">
                  <c:v>256324026.91359395</c:v>
                </c:pt>
                <c:pt idx="24">
                  <c:v>272990209.45174247</c:v>
                </c:pt>
                <c:pt idx="25">
                  <c:v>284665724.15048897</c:v>
                </c:pt>
                <c:pt idx="26">
                  <c:v>300949436.55980766</c:v>
                </c:pt>
                <c:pt idx="27">
                  <c:v>316235603.30314386</c:v>
                </c:pt>
                <c:pt idx="28">
                  <c:v>330901394.67373002</c:v>
                </c:pt>
                <c:pt idx="29">
                  <c:v>346772958.50180292</c:v>
                </c:pt>
                <c:pt idx="30">
                  <c:v>365048485.57369077</c:v>
                </c:pt>
                <c:pt idx="31">
                  <c:v>377366504.10318059</c:v>
                </c:pt>
                <c:pt idx="32">
                  <c:v>392676115.18596846</c:v>
                </c:pt>
                <c:pt idx="33">
                  <c:v>407806354.64896041</c:v>
                </c:pt>
                <c:pt idx="34">
                  <c:v>427701564.5737865</c:v>
                </c:pt>
                <c:pt idx="35">
                  <c:v>445144926.60170466</c:v>
                </c:pt>
                <c:pt idx="36">
                  <c:v>465596748.52027035</c:v>
                </c:pt>
                <c:pt idx="37">
                  <c:v>484327153.57697707</c:v>
                </c:pt>
                <c:pt idx="38">
                  <c:v>500236748.39826983</c:v>
                </c:pt>
                <c:pt idx="39">
                  <c:v>518864076.03701413</c:v>
                </c:pt>
                <c:pt idx="40">
                  <c:v>536922467.23058391</c:v>
                </c:pt>
                <c:pt idx="41">
                  <c:v>550581282.15585721</c:v>
                </c:pt>
                <c:pt idx="42">
                  <c:v>568482153.90918279</c:v>
                </c:pt>
                <c:pt idx="43">
                  <c:v>578564925.3560313</c:v>
                </c:pt>
                <c:pt idx="44">
                  <c:v>591242120.28443563</c:v>
                </c:pt>
                <c:pt idx="45">
                  <c:v>610719378.50865865</c:v>
                </c:pt>
                <c:pt idx="46">
                  <c:v>632331064.89424479</c:v>
                </c:pt>
                <c:pt idx="47">
                  <c:v>643979377.62196553</c:v>
                </c:pt>
                <c:pt idx="48">
                  <c:v>648864228.88519561</c:v>
                </c:pt>
                <c:pt idx="49">
                  <c:v>637332718.85086095</c:v>
                </c:pt>
                <c:pt idx="50">
                  <c:v>644209801.49398983</c:v>
                </c:pt>
                <c:pt idx="51">
                  <c:v>658934093.18158925</c:v>
                </c:pt>
                <c:pt idx="52">
                  <c:v>682355015.50258851</c:v>
                </c:pt>
                <c:pt idx="53">
                  <c:v>689105214.69998801</c:v>
                </c:pt>
              </c:numCache>
            </c:numRef>
          </c:val>
          <c:smooth val="0"/>
        </c:ser>
        <c:dLbls>
          <c:showLegendKey val="0"/>
          <c:showVal val="0"/>
          <c:showCatName val="0"/>
          <c:showSerName val="0"/>
          <c:showPercent val="0"/>
          <c:showBubbleSize val="0"/>
        </c:dLbls>
        <c:marker val="1"/>
        <c:smooth val="0"/>
        <c:axId val="46493056"/>
        <c:axId val="46523904"/>
      </c:lineChart>
      <c:catAx>
        <c:axId val="4649305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6523904"/>
        <c:crosses val="autoZero"/>
        <c:auto val="1"/>
        <c:lblAlgn val="ctr"/>
        <c:lblOffset val="100"/>
        <c:tickLblSkip val="3"/>
        <c:noMultiLvlLbl val="0"/>
      </c:catAx>
      <c:valAx>
        <c:axId val="46523904"/>
        <c:scaling>
          <c:orientation val="minMax"/>
        </c:scaling>
        <c:delete val="0"/>
        <c:axPos val="l"/>
        <c:majorGridlines/>
        <c:title>
          <c:tx>
            <c:rich>
              <a:bodyPr/>
              <a:lstStyle/>
              <a:p>
                <a:pPr>
                  <a:defRPr/>
                </a:pPr>
                <a:r>
                  <a:rPr lang="en-US"/>
                  <a:t>hours</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493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Total Maryland</a:t>
            </a:r>
            <a:r>
              <a:rPr lang="en-US" baseline="0"/>
              <a:t> Household Labor</a:t>
            </a:r>
            <a:endParaRPr lang="en-US"/>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ValueofHousework!$C$2:$BD$2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ValueofHousework!$C$5:$BD$5</c:f>
              <c:numCache>
                <c:formatCode>#,##0</c:formatCode>
                <c:ptCount val="54"/>
                <c:pt idx="0">
                  <c:v>4228.779248571429</c:v>
                </c:pt>
                <c:pt idx="1">
                  <c:v>4249.3101440000009</c:v>
                </c:pt>
                <c:pt idx="2">
                  <c:v>4298.879438285715</c:v>
                </c:pt>
                <c:pt idx="3">
                  <c:v>4391.5762148571439</c:v>
                </c:pt>
                <c:pt idx="4">
                  <c:v>4457.5340091428588</c:v>
                </c:pt>
                <c:pt idx="5">
                  <c:v>4521.6617142857167</c:v>
                </c:pt>
                <c:pt idx="6">
                  <c:v>4565.3034085714316</c:v>
                </c:pt>
                <c:pt idx="7">
                  <c:v>4564.9568045714323</c:v>
                </c:pt>
                <c:pt idx="8">
                  <c:v>4557.2921800000031</c:v>
                </c:pt>
                <c:pt idx="9">
                  <c:v>4541.3812251428608</c:v>
                </c:pt>
                <c:pt idx="10">
                  <c:v>4526.7600342857186</c:v>
                </c:pt>
                <c:pt idx="11">
                  <c:v>4552.9037120000039</c:v>
                </c:pt>
                <c:pt idx="12">
                  <c:v>4531.8036668571467</c:v>
                </c:pt>
                <c:pt idx="13">
                  <c:v>4475.6857302857179</c:v>
                </c:pt>
                <c:pt idx="14">
                  <c:v>4414.2569811428612</c:v>
                </c:pt>
                <c:pt idx="15">
                  <c:v>4350.9168000000036</c:v>
                </c:pt>
                <c:pt idx="16">
                  <c:v>4356.7973555555591</c:v>
                </c:pt>
                <c:pt idx="17">
                  <c:v>4369.9746666666697</c:v>
                </c:pt>
                <c:pt idx="18">
                  <c:v>4377.8586666666706</c:v>
                </c:pt>
                <c:pt idx="19">
                  <c:v>4378.3842666666706</c:v>
                </c:pt>
                <c:pt idx="20">
                  <c:v>4398.7058444444492</c:v>
                </c:pt>
                <c:pt idx="21">
                  <c:v>4438.7309333333369</c:v>
                </c:pt>
                <c:pt idx="22">
                  <c:v>4453.6537555555587</c:v>
                </c:pt>
                <c:pt idx="23">
                  <c:v>4477.8524444444474</c:v>
                </c:pt>
                <c:pt idx="24">
                  <c:v>4524.7590000000037</c:v>
                </c:pt>
                <c:pt idx="25">
                  <c:v>4567.3569333333371</c:v>
                </c:pt>
                <c:pt idx="26">
                  <c:v>4636.6663777777821</c:v>
                </c:pt>
                <c:pt idx="27">
                  <c:v>4710.8944000000038</c:v>
                </c:pt>
                <c:pt idx="28">
                  <c:v>4798.2575555555595</c:v>
                </c:pt>
                <c:pt idx="29">
                  <c:v>4861.6669777777824</c:v>
                </c:pt>
                <c:pt idx="30">
                  <c:v>4909.449533333338</c:v>
                </c:pt>
                <c:pt idx="31">
                  <c:v>4788.4583600000042</c:v>
                </c:pt>
                <c:pt idx="32">
                  <c:v>4686.0160000000042</c:v>
                </c:pt>
                <c:pt idx="33">
                  <c:v>4629.2083733333366</c:v>
                </c:pt>
                <c:pt idx="34">
                  <c:v>4556.9257200000038</c:v>
                </c:pt>
                <c:pt idx="35">
                  <c:v>4476.4573333333365</c:v>
                </c:pt>
                <c:pt idx="36">
                  <c:v>4395.2589466666695</c:v>
                </c:pt>
                <c:pt idx="37">
                  <c:v>4308.0804000000026</c:v>
                </c:pt>
                <c:pt idx="38">
                  <c:v>4214.4009600000018</c:v>
                </c:pt>
                <c:pt idx="39">
                  <c:v>4120.993080000002</c:v>
                </c:pt>
                <c:pt idx="40">
                  <c:v>4026.8552000000013</c:v>
                </c:pt>
                <c:pt idx="41">
                  <c:v>3933.3324666666676</c:v>
                </c:pt>
                <c:pt idx="42">
                  <c:v>3933.4122800000005</c:v>
                </c:pt>
                <c:pt idx="43">
                  <c:v>3834.8506000000002</c:v>
                </c:pt>
                <c:pt idx="44">
                  <c:v>3833.2095600000002</c:v>
                </c:pt>
                <c:pt idx="45">
                  <c:v>3858.8150400000004</c:v>
                </c:pt>
                <c:pt idx="46">
                  <c:v>3795.018880000001</c:v>
                </c:pt>
                <c:pt idx="47">
                  <c:v>3888.57276</c:v>
                </c:pt>
                <c:pt idx="48">
                  <c:v>3717.9892799999998</c:v>
                </c:pt>
                <c:pt idx="49">
                  <c:v>3894.0127199999993</c:v>
                </c:pt>
                <c:pt idx="50">
                  <c:v>3877.1468</c:v>
                </c:pt>
                <c:pt idx="51">
                  <c:v>3880.0492800000006</c:v>
                </c:pt>
                <c:pt idx="52">
                  <c:v>3866.4450000000002</c:v>
                </c:pt>
                <c:pt idx="53">
                  <c:v>3999.1036192800007</c:v>
                </c:pt>
              </c:numCache>
            </c:numRef>
          </c:val>
          <c:smooth val="0"/>
        </c:ser>
        <c:dLbls>
          <c:showLegendKey val="0"/>
          <c:showVal val="0"/>
          <c:showCatName val="0"/>
          <c:showSerName val="0"/>
          <c:showPercent val="0"/>
          <c:showBubbleSize val="0"/>
        </c:dLbls>
        <c:marker val="1"/>
        <c:smooth val="0"/>
        <c:axId val="44355968"/>
        <c:axId val="44357888"/>
      </c:lineChart>
      <c:catAx>
        <c:axId val="443559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357888"/>
        <c:crosses val="autoZero"/>
        <c:auto val="1"/>
        <c:lblAlgn val="ctr"/>
        <c:lblOffset val="100"/>
        <c:tickLblSkip val="3"/>
        <c:noMultiLvlLbl val="0"/>
      </c:catAx>
      <c:valAx>
        <c:axId val="44357888"/>
        <c:scaling>
          <c:orientation val="minMax"/>
        </c:scaling>
        <c:delete val="0"/>
        <c:axPos val="l"/>
        <c:majorGridlines/>
        <c:title>
          <c:tx>
            <c:rich>
              <a:bodyPr/>
              <a:lstStyle/>
              <a:p>
                <a:pPr>
                  <a:defRPr/>
                </a:pPr>
                <a:r>
                  <a:rPr lang="en-US"/>
                  <a:t>Million hours</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355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Value of Higher Education</a:t>
            </a:r>
          </a:p>
        </c:rich>
      </c:tx>
      <c:layout>
        <c:manualLayout>
          <c:xMode val="edge"/>
          <c:yMode val="edge"/>
          <c:x val="0.43939632545931756"/>
          <c:y val="2.5078369905956112E-2"/>
        </c:manualLayout>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ValueHigherEd!$C$2:$BD$2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ValueHigherEd!$C$3:$BD$3</c:f>
              <c:numCache>
                <c:formatCode>0.000000</c:formatCode>
                <c:ptCount val="54"/>
                <c:pt idx="0">
                  <c:v>3.182202254524253</c:v>
                </c:pt>
                <c:pt idx="1">
                  <c:v>3.3564625398987302</c:v>
                </c:pt>
                <c:pt idx="2">
                  <c:v>3.5364727657646706</c:v>
                </c:pt>
                <c:pt idx="3">
                  <c:v>3.7485005645253229</c:v>
                </c:pt>
                <c:pt idx="4">
                  <c:v>4.009295826254915</c:v>
                </c:pt>
                <c:pt idx="5">
                  <c:v>4.2580432818314327</c:v>
                </c:pt>
                <c:pt idx="6">
                  <c:v>4.5167816781289547</c:v>
                </c:pt>
                <c:pt idx="7">
                  <c:v>4.7663734756485203</c:v>
                </c:pt>
                <c:pt idx="8">
                  <c:v>4.9789374815819896</c:v>
                </c:pt>
                <c:pt idx="9">
                  <c:v>5.1904353938830612</c:v>
                </c:pt>
                <c:pt idx="10">
                  <c:v>5.3990479005921017</c:v>
                </c:pt>
                <c:pt idx="11">
                  <c:v>5.6625541258052614</c:v>
                </c:pt>
                <c:pt idx="12">
                  <c:v>5.9879813672035951</c:v>
                </c:pt>
                <c:pt idx="13">
                  <c:v>6.262324968684057</c:v>
                </c:pt>
                <c:pt idx="14">
                  <c:v>6.4943215206376363</c:v>
                </c:pt>
                <c:pt idx="15">
                  <c:v>6.7221517489237623</c:v>
                </c:pt>
                <c:pt idx="16">
                  <c:v>6.9502865206657845</c:v>
                </c:pt>
                <c:pt idx="17">
                  <c:v>7.1664989800788783</c:v>
                </c:pt>
                <c:pt idx="18">
                  <c:v>7.3962608034324875</c:v>
                </c:pt>
                <c:pt idx="19">
                  <c:v>7.6187128788829126</c:v>
                </c:pt>
                <c:pt idx="20">
                  <c:v>7.8294104228898327</c:v>
                </c:pt>
                <c:pt idx="21">
                  <c:v>8.2785961727846473</c:v>
                </c:pt>
                <c:pt idx="22">
                  <c:v>8.7398433075060886</c:v>
                </c:pt>
                <c:pt idx="23">
                  <c:v>9.2131518270541459</c:v>
                </c:pt>
                <c:pt idx="24">
                  <c:v>9.6985217314288299</c:v>
                </c:pt>
                <c:pt idx="25">
                  <c:v>10.195953020630133</c:v>
                </c:pt>
                <c:pt idx="26">
                  <c:v>10.70544569465806</c:v>
                </c:pt>
                <c:pt idx="27">
                  <c:v>11.226999753512608</c:v>
                </c:pt>
                <c:pt idx="28">
                  <c:v>11.760615197193777</c:v>
                </c:pt>
                <c:pt idx="29">
                  <c:v>12.30629202570157</c:v>
                </c:pt>
                <c:pt idx="30">
                  <c:v>12.864030239035978</c:v>
                </c:pt>
                <c:pt idx="31">
                  <c:v>13.310874736855993</c:v>
                </c:pt>
                <c:pt idx="32">
                  <c:v>13.765307292150261</c:v>
                </c:pt>
                <c:pt idx="33">
                  <c:v>14.22732790491879</c:v>
                </c:pt>
                <c:pt idx="34">
                  <c:v>14.696936575161574</c:v>
                </c:pt>
                <c:pt idx="35">
                  <c:v>15.174133302878619</c:v>
                </c:pt>
                <c:pt idx="36">
                  <c:v>15.658918088069919</c:v>
                </c:pt>
                <c:pt idx="37">
                  <c:v>16.151290930735478</c:v>
                </c:pt>
                <c:pt idx="38">
                  <c:v>16.651251830875296</c:v>
                </c:pt>
                <c:pt idx="39">
                  <c:v>17.158800788489369</c:v>
                </c:pt>
                <c:pt idx="40">
                  <c:v>17.673937803577708</c:v>
                </c:pt>
                <c:pt idx="41">
                  <c:v>18.268939785233361</c:v>
                </c:pt>
                <c:pt idx="42">
                  <c:v>18.368137059132234</c:v>
                </c:pt>
                <c:pt idx="43">
                  <c:v>18.907928956530196</c:v>
                </c:pt>
                <c:pt idx="44">
                  <c:v>19.412811334261825</c:v>
                </c:pt>
                <c:pt idx="45">
                  <c:v>19.898329622206202</c:v>
                </c:pt>
                <c:pt idx="46">
                  <c:v>20.348614132099989</c:v>
                </c:pt>
                <c:pt idx="47">
                  <c:v>20.468513844013273</c:v>
                </c:pt>
                <c:pt idx="48">
                  <c:v>20.882698736979382</c:v>
                </c:pt>
                <c:pt idx="49">
                  <c:v>21.04007357678546</c:v>
                </c:pt>
                <c:pt idx="50">
                  <c:v>21.268466177078761</c:v>
                </c:pt>
                <c:pt idx="51">
                  <c:v>21.531405231134745</c:v>
                </c:pt>
                <c:pt idx="52">
                  <c:v>21.985598089425963</c:v>
                </c:pt>
                <c:pt idx="53">
                  <c:v>22.27199222192634</c:v>
                </c:pt>
              </c:numCache>
            </c:numRef>
          </c:val>
          <c:smooth val="0"/>
        </c:ser>
        <c:dLbls>
          <c:showLegendKey val="0"/>
          <c:showVal val="0"/>
          <c:showCatName val="0"/>
          <c:showSerName val="0"/>
          <c:showPercent val="0"/>
          <c:showBubbleSize val="0"/>
        </c:dLbls>
        <c:marker val="1"/>
        <c:smooth val="0"/>
        <c:axId val="46540288"/>
        <c:axId val="46542208"/>
      </c:lineChart>
      <c:catAx>
        <c:axId val="4654028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6542208"/>
        <c:crosses val="autoZero"/>
        <c:auto val="1"/>
        <c:lblAlgn val="ctr"/>
        <c:lblOffset val="100"/>
        <c:tickLblSkip val="3"/>
        <c:noMultiLvlLbl val="0"/>
      </c:catAx>
      <c:valAx>
        <c:axId val="46542208"/>
        <c:scaling>
          <c:orientation val="minMax"/>
        </c:scaling>
        <c:delete val="0"/>
        <c:axPos val="l"/>
        <c:majorGridlines/>
        <c:title>
          <c:tx>
            <c:rich>
              <a:bodyPr/>
              <a:lstStyle/>
              <a:p>
                <a:pPr>
                  <a:defRPr/>
                </a:pPr>
                <a:r>
                  <a:rPr lang="en-US"/>
                  <a:t>Billion $</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540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Percent of MD Population over 25 with Bachelors Degree or more</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ValueHigherEd!$C$2:$BD$2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ValueHigherEd!$C$4:$BD$4</c:f>
              <c:numCache>
                <c:formatCode>0.00</c:formatCode>
                <c:ptCount val="54"/>
                <c:pt idx="0">
                  <c:v>11.053601993592025</c:v>
                </c:pt>
                <c:pt idx="1">
                  <c:v>11.427638020647917</c:v>
                </c:pt>
                <c:pt idx="2">
                  <c:v>11.801674047703809</c:v>
                </c:pt>
                <c:pt idx="3">
                  <c:v>12.175710074759701</c:v>
                </c:pt>
                <c:pt idx="4">
                  <c:v>12.549746101815593</c:v>
                </c:pt>
                <c:pt idx="5">
                  <c:v>12.923782128871485</c:v>
                </c:pt>
                <c:pt idx="6">
                  <c:v>13.297818155927377</c:v>
                </c:pt>
                <c:pt idx="7">
                  <c:v>13.671854182983269</c:v>
                </c:pt>
                <c:pt idx="8">
                  <c:v>14.045890210039161</c:v>
                </c:pt>
                <c:pt idx="9">
                  <c:v>14.419926237095053</c:v>
                </c:pt>
                <c:pt idx="10">
                  <c:v>14.793962264150943</c:v>
                </c:pt>
                <c:pt idx="11">
                  <c:v>15.29456603773585</c:v>
                </c:pt>
                <c:pt idx="12">
                  <c:v>15.795169811320756</c:v>
                </c:pt>
                <c:pt idx="13">
                  <c:v>16.29577358490566</c:v>
                </c:pt>
                <c:pt idx="14">
                  <c:v>16.796377358490567</c:v>
                </c:pt>
                <c:pt idx="15">
                  <c:v>17.296981132075473</c:v>
                </c:pt>
                <c:pt idx="16">
                  <c:v>17.797584905660379</c:v>
                </c:pt>
                <c:pt idx="17">
                  <c:v>18.298188679245285</c:v>
                </c:pt>
                <c:pt idx="18">
                  <c:v>18.798792452830192</c:v>
                </c:pt>
                <c:pt idx="19">
                  <c:v>19.299396226415098</c:v>
                </c:pt>
                <c:pt idx="20">
                  <c:v>19.8</c:v>
                </c:pt>
                <c:pt idx="21">
                  <c:v>20.47</c:v>
                </c:pt>
                <c:pt idx="22">
                  <c:v>21.14</c:v>
                </c:pt>
                <c:pt idx="23">
                  <c:v>21.810000000000002</c:v>
                </c:pt>
                <c:pt idx="24">
                  <c:v>22.480000000000004</c:v>
                </c:pt>
                <c:pt idx="25">
                  <c:v>23.150000000000006</c:v>
                </c:pt>
                <c:pt idx="26">
                  <c:v>23.820000000000007</c:v>
                </c:pt>
                <c:pt idx="27">
                  <c:v>24.490000000000009</c:v>
                </c:pt>
                <c:pt idx="28">
                  <c:v>25.160000000000011</c:v>
                </c:pt>
                <c:pt idx="29">
                  <c:v>25.830000000000013</c:v>
                </c:pt>
                <c:pt idx="30">
                  <c:v>26.5</c:v>
                </c:pt>
                <c:pt idx="31">
                  <c:v>26.99</c:v>
                </c:pt>
                <c:pt idx="32">
                  <c:v>27.479999999999997</c:v>
                </c:pt>
                <c:pt idx="33">
                  <c:v>27.969999999999995</c:v>
                </c:pt>
                <c:pt idx="34">
                  <c:v>28.459999999999994</c:v>
                </c:pt>
                <c:pt idx="35">
                  <c:v>28.949999999999992</c:v>
                </c:pt>
                <c:pt idx="36">
                  <c:v>29.439999999999991</c:v>
                </c:pt>
                <c:pt idx="37">
                  <c:v>29.929999999999989</c:v>
                </c:pt>
                <c:pt idx="38">
                  <c:v>30.419999999999987</c:v>
                </c:pt>
                <c:pt idx="39">
                  <c:v>30.909999999999986</c:v>
                </c:pt>
                <c:pt idx="40">
                  <c:v>31.4</c:v>
                </c:pt>
                <c:pt idx="41">
                  <c:v>31.875</c:v>
                </c:pt>
                <c:pt idx="42">
                  <c:v>32.35</c:v>
                </c:pt>
                <c:pt idx="43">
                  <c:v>32.825000000000003</c:v>
                </c:pt>
                <c:pt idx="44">
                  <c:v>33.300000000000004</c:v>
                </c:pt>
                <c:pt idx="45">
                  <c:v>33.775000000000006</c:v>
                </c:pt>
                <c:pt idx="46">
                  <c:v>34.250000000000007</c:v>
                </c:pt>
                <c:pt idx="47">
                  <c:v>34.725000000000009</c:v>
                </c:pt>
                <c:pt idx="48">
                  <c:v>35.200000000000003</c:v>
                </c:pt>
                <c:pt idx="49">
                  <c:v>35.299999999999997</c:v>
                </c:pt>
                <c:pt idx="50">
                  <c:v>35.6</c:v>
                </c:pt>
                <c:pt idx="51">
                  <c:v>35.700000000000003</c:v>
                </c:pt>
                <c:pt idx="52">
                  <c:v>36.1</c:v>
                </c:pt>
                <c:pt idx="53">
                  <c:v>36.299999999999997</c:v>
                </c:pt>
              </c:numCache>
            </c:numRef>
          </c:val>
          <c:smooth val="0"/>
        </c:ser>
        <c:dLbls>
          <c:showLegendKey val="0"/>
          <c:showVal val="0"/>
          <c:showCatName val="0"/>
          <c:showSerName val="0"/>
          <c:showPercent val="0"/>
          <c:showBubbleSize val="0"/>
        </c:dLbls>
        <c:marker val="1"/>
        <c:smooth val="0"/>
        <c:axId val="46627840"/>
        <c:axId val="46650496"/>
      </c:lineChart>
      <c:catAx>
        <c:axId val="466278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6650496"/>
        <c:crosses val="autoZero"/>
        <c:auto val="1"/>
        <c:lblAlgn val="ctr"/>
        <c:lblOffset val="100"/>
        <c:tickLblSkip val="3"/>
        <c:noMultiLvlLbl val="0"/>
      </c:catAx>
      <c:valAx>
        <c:axId val="46650496"/>
        <c:scaling>
          <c:orientation val="minMax"/>
        </c:scaling>
        <c:delete val="0"/>
        <c:axPos val="l"/>
        <c:majorGridlines/>
        <c:title>
          <c:tx>
            <c:rich>
              <a:bodyPr/>
              <a:lstStyle/>
              <a:p>
                <a:pPr>
                  <a:defRPr/>
                </a:pPr>
                <a:r>
                  <a:rPr lang="en-US"/>
                  <a:t>%</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627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Persons 25+ with a Bachelor Degree or more</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ValueHigherEd!$C$2:$BD$2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ValueHigherEd!$C$5:$BD$5</c:f>
              <c:numCache>
                <c:formatCode>#,##0.00</c:formatCode>
                <c:ptCount val="54"/>
                <c:pt idx="0">
                  <c:v>198.88764090776581</c:v>
                </c:pt>
                <c:pt idx="1">
                  <c:v>209.77890874367066</c:v>
                </c:pt>
                <c:pt idx="2">
                  <c:v>221.0295478602919</c:v>
                </c:pt>
                <c:pt idx="3">
                  <c:v>234.2812852828327</c:v>
                </c:pt>
                <c:pt idx="4">
                  <c:v>250.58098914093219</c:v>
                </c:pt>
                <c:pt idx="5">
                  <c:v>266.12770511446456</c:v>
                </c:pt>
                <c:pt idx="6">
                  <c:v>282.29885488305968</c:v>
                </c:pt>
                <c:pt idx="7">
                  <c:v>297.89834222803256</c:v>
                </c:pt>
                <c:pt idx="8">
                  <c:v>311.18359259887438</c:v>
                </c:pt>
                <c:pt idx="9">
                  <c:v>324.40221211769136</c:v>
                </c:pt>
                <c:pt idx="10">
                  <c:v>337.44049378700635</c:v>
                </c:pt>
                <c:pt idx="11">
                  <c:v>353.90963286282886</c:v>
                </c:pt>
                <c:pt idx="12">
                  <c:v>374.2488354502247</c:v>
                </c:pt>
                <c:pt idx="13">
                  <c:v>391.39531054275358</c:v>
                </c:pt>
                <c:pt idx="14">
                  <c:v>405.89509503985227</c:v>
                </c:pt>
                <c:pt idx="15">
                  <c:v>420.13448430773519</c:v>
                </c:pt>
                <c:pt idx="16">
                  <c:v>434.39290754161152</c:v>
                </c:pt>
                <c:pt idx="17">
                  <c:v>447.90618625492988</c:v>
                </c:pt>
                <c:pt idx="18">
                  <c:v>462.26630021453047</c:v>
                </c:pt>
                <c:pt idx="19">
                  <c:v>476.16955493018207</c:v>
                </c:pt>
                <c:pt idx="20">
                  <c:v>489.33815143061452</c:v>
                </c:pt>
                <c:pt idx="21">
                  <c:v>517.4122607990405</c:v>
                </c:pt>
                <c:pt idx="22">
                  <c:v>546.24020671913047</c:v>
                </c:pt>
                <c:pt idx="23">
                  <c:v>575.82198919088421</c:v>
                </c:pt>
                <c:pt idx="24">
                  <c:v>606.15760821430183</c:v>
                </c:pt>
                <c:pt idx="25">
                  <c:v>637.24706378938345</c:v>
                </c:pt>
                <c:pt idx="26">
                  <c:v>669.09035591612871</c:v>
                </c:pt>
                <c:pt idx="27">
                  <c:v>701.68748459453798</c:v>
                </c:pt>
                <c:pt idx="28">
                  <c:v>735.03844982461112</c:v>
                </c:pt>
                <c:pt idx="29">
                  <c:v>769.14325160634803</c:v>
                </c:pt>
                <c:pt idx="30">
                  <c:v>804.00188993974871</c:v>
                </c:pt>
                <c:pt idx="31">
                  <c:v>831.92967105349953</c:v>
                </c:pt>
                <c:pt idx="32">
                  <c:v>860.3317057593913</c:v>
                </c:pt>
                <c:pt idx="33">
                  <c:v>889.20799405742434</c:v>
                </c:pt>
                <c:pt idx="34">
                  <c:v>918.55853594759844</c:v>
                </c:pt>
                <c:pt idx="35">
                  <c:v>948.38333142991371</c:v>
                </c:pt>
                <c:pt idx="36">
                  <c:v>978.68238050436992</c:v>
                </c:pt>
                <c:pt idx="37">
                  <c:v>1009.4556831709674</c:v>
                </c:pt>
                <c:pt idx="38">
                  <c:v>1040.7032394297059</c:v>
                </c:pt>
                <c:pt idx="39">
                  <c:v>1072.4250492805854</c:v>
                </c:pt>
                <c:pt idx="40">
                  <c:v>1104.6211127236065</c:v>
                </c:pt>
                <c:pt idx="41">
                  <c:v>1141.808736577085</c:v>
                </c:pt>
                <c:pt idx="42">
                  <c:v>1148.0085661957646</c:v>
                </c:pt>
                <c:pt idx="43">
                  <c:v>1181.7455597831372</c:v>
                </c:pt>
                <c:pt idx="44">
                  <c:v>1213.300708391364</c:v>
                </c:pt>
                <c:pt idx="45">
                  <c:v>1243.6456013878874</c:v>
                </c:pt>
                <c:pt idx="46">
                  <c:v>1271.7883832562493</c:v>
                </c:pt>
                <c:pt idx="47">
                  <c:v>1279.2821152508295</c:v>
                </c:pt>
                <c:pt idx="48">
                  <c:v>1305.1686710612112</c:v>
                </c:pt>
                <c:pt idx="49">
                  <c:v>1315.0045985490913</c:v>
                </c:pt>
                <c:pt idx="50">
                  <c:v>1329.2791360674225</c:v>
                </c:pt>
                <c:pt idx="51">
                  <c:v>1345.7128269459217</c:v>
                </c:pt>
                <c:pt idx="52">
                  <c:v>1374.0998805891227</c:v>
                </c:pt>
                <c:pt idx="53">
                  <c:v>1391.9995138703962</c:v>
                </c:pt>
              </c:numCache>
            </c:numRef>
          </c:val>
          <c:smooth val="0"/>
        </c:ser>
        <c:dLbls>
          <c:showLegendKey val="0"/>
          <c:showVal val="0"/>
          <c:showCatName val="0"/>
          <c:showSerName val="0"/>
          <c:showPercent val="0"/>
          <c:showBubbleSize val="0"/>
        </c:dLbls>
        <c:marker val="1"/>
        <c:smooth val="0"/>
        <c:axId val="46703360"/>
        <c:axId val="46705280"/>
      </c:lineChart>
      <c:catAx>
        <c:axId val="4670336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6705280"/>
        <c:crosses val="autoZero"/>
        <c:auto val="1"/>
        <c:lblAlgn val="ctr"/>
        <c:lblOffset val="100"/>
        <c:tickLblSkip val="3"/>
        <c:noMultiLvlLbl val="0"/>
      </c:catAx>
      <c:valAx>
        <c:axId val="46705280"/>
        <c:scaling>
          <c:orientation val="minMax"/>
        </c:scaling>
        <c:delete val="0"/>
        <c:axPos val="l"/>
        <c:majorGridlines/>
        <c:title>
          <c:tx>
            <c:rich>
              <a:bodyPr/>
              <a:lstStyle/>
              <a:p>
                <a:pPr>
                  <a:defRPr/>
                </a:pPr>
                <a:r>
                  <a:rPr lang="en-US"/>
                  <a:t>1000 people</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703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Services of Highways and Streets</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HighwaysStreets!$C$2:$BD$2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HighwaysStreets!$C$3:$BD$3</c:f>
              <c:numCache>
                <c:formatCode>0.000000</c:formatCode>
                <c:ptCount val="54"/>
                <c:pt idx="0">
                  <c:v>0.23033667884700659</c:v>
                </c:pt>
                <c:pt idx="1">
                  <c:v>0.24324543456395847</c:v>
                </c:pt>
                <c:pt idx="2">
                  <c:v>0.26262479446591613</c:v>
                </c:pt>
                <c:pt idx="3">
                  <c:v>0.27990588863728433</c:v>
                </c:pt>
                <c:pt idx="4">
                  <c:v>0.29149824489926529</c:v>
                </c:pt>
                <c:pt idx="5">
                  <c:v>0.31499086638352436</c:v>
                </c:pt>
                <c:pt idx="6">
                  <c:v>0.38179930368227155</c:v>
                </c:pt>
                <c:pt idx="7">
                  <c:v>0.40582316786941758</c:v>
                </c:pt>
                <c:pt idx="8">
                  <c:v>0.42221678621366671</c:v>
                </c:pt>
                <c:pt idx="9">
                  <c:v>0.45099241245176031</c:v>
                </c:pt>
                <c:pt idx="10">
                  <c:v>0.49795410299999998</c:v>
                </c:pt>
                <c:pt idx="11">
                  <c:v>0.50966552114523034</c:v>
                </c:pt>
                <c:pt idx="12">
                  <c:v>0.53696353507566386</c:v>
                </c:pt>
                <c:pt idx="13">
                  <c:v>0.59599626605737888</c:v>
                </c:pt>
                <c:pt idx="14">
                  <c:v>0.71303070405829405</c:v>
                </c:pt>
                <c:pt idx="15">
                  <c:v>0.64864974035154155</c:v>
                </c:pt>
                <c:pt idx="16">
                  <c:v>0.6321127191004251</c:v>
                </c:pt>
                <c:pt idx="17">
                  <c:v>0.6018292035398235</c:v>
                </c:pt>
                <c:pt idx="18">
                  <c:v>0.59099550057006367</c:v>
                </c:pt>
                <c:pt idx="19">
                  <c:v>0.61347835515249016</c:v>
                </c:pt>
                <c:pt idx="20">
                  <c:v>0.65180224675659426</c:v>
                </c:pt>
                <c:pt idx="21">
                  <c:v>0.67615620783317332</c:v>
                </c:pt>
                <c:pt idx="22">
                  <c:v>0.66370256316199805</c:v>
                </c:pt>
                <c:pt idx="23">
                  <c:v>0.62167392046060366</c:v>
                </c:pt>
                <c:pt idx="24">
                  <c:v>0.59347596906487743</c:v>
                </c:pt>
                <c:pt idx="25">
                  <c:v>0.60026899282824009</c:v>
                </c:pt>
                <c:pt idx="26">
                  <c:v>0.63622109521348813</c:v>
                </c:pt>
                <c:pt idx="27">
                  <c:v>0.66527692231742142</c:v>
                </c:pt>
                <c:pt idx="28">
                  <c:v>0.65113917855034575</c:v>
                </c:pt>
                <c:pt idx="29">
                  <c:v>0.6461499182821302</c:v>
                </c:pt>
                <c:pt idx="30">
                  <c:v>0.64418246303959537</c:v>
                </c:pt>
                <c:pt idx="31">
                  <c:v>0.63247737561369999</c:v>
                </c:pt>
                <c:pt idx="32">
                  <c:v>0.62809176997036043</c:v>
                </c:pt>
                <c:pt idx="33">
                  <c:v>0.6309710648170227</c:v>
                </c:pt>
                <c:pt idx="34">
                  <c:v>0.65992790065822604</c:v>
                </c:pt>
                <c:pt idx="35">
                  <c:v>0.69029123383936075</c:v>
                </c:pt>
                <c:pt idx="36">
                  <c:v>0.69988482941599828</c:v>
                </c:pt>
                <c:pt idx="37">
                  <c:v>0.73678920711038398</c:v>
                </c:pt>
                <c:pt idx="38">
                  <c:v>0.76717219211335141</c:v>
                </c:pt>
                <c:pt idx="39">
                  <c:v>0.8012045370823172</c:v>
                </c:pt>
                <c:pt idx="40">
                  <c:v>0.8338880080401827</c:v>
                </c:pt>
                <c:pt idx="41">
                  <c:v>0.8474388492350482</c:v>
                </c:pt>
                <c:pt idx="42">
                  <c:v>0.87010575234188969</c:v>
                </c:pt>
                <c:pt idx="43">
                  <c:v>0.86396059334565767</c:v>
                </c:pt>
                <c:pt idx="44">
                  <c:v>0.97214021996326605</c:v>
                </c:pt>
                <c:pt idx="45">
                  <c:v>1.0535240355231188</c:v>
                </c:pt>
                <c:pt idx="46">
                  <c:v>1.1655860474013637</c:v>
                </c:pt>
                <c:pt idx="47">
                  <c:v>1.2710081139603666</c:v>
                </c:pt>
                <c:pt idx="48">
                  <c:v>1.3018054144708322</c:v>
                </c:pt>
                <c:pt idx="49">
                  <c:v>1.3189457914872098</c:v>
                </c:pt>
                <c:pt idx="50">
                  <c:v>1.346195884031806</c:v>
                </c:pt>
                <c:pt idx="51">
                  <c:v>1.3913975285621021</c:v>
                </c:pt>
                <c:pt idx="52">
                  <c:v>1.4218502514974858</c:v>
                </c:pt>
                <c:pt idx="53">
                  <c:v>1.4291224279680015</c:v>
                </c:pt>
              </c:numCache>
            </c:numRef>
          </c:val>
          <c:smooth val="0"/>
        </c:ser>
        <c:dLbls>
          <c:showLegendKey val="0"/>
          <c:showVal val="0"/>
          <c:showCatName val="0"/>
          <c:showSerName val="0"/>
          <c:showPercent val="0"/>
          <c:showBubbleSize val="0"/>
        </c:dLbls>
        <c:marker val="1"/>
        <c:smooth val="0"/>
        <c:axId val="46828160"/>
        <c:axId val="46940928"/>
      </c:lineChart>
      <c:catAx>
        <c:axId val="4682816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6940928"/>
        <c:crosses val="autoZero"/>
        <c:auto val="1"/>
        <c:lblAlgn val="ctr"/>
        <c:lblOffset val="100"/>
        <c:tickLblSkip val="3"/>
        <c:noMultiLvlLbl val="0"/>
      </c:catAx>
      <c:valAx>
        <c:axId val="46940928"/>
        <c:scaling>
          <c:orientation val="minMax"/>
        </c:scaling>
        <c:delete val="0"/>
        <c:axPos val="l"/>
        <c:majorGridlines/>
        <c:title>
          <c:tx>
            <c:rich>
              <a:bodyPr/>
              <a:lstStyle/>
              <a:p>
                <a:pPr>
                  <a:defRPr/>
                </a:pPr>
                <a:r>
                  <a:rPr lang="en-US"/>
                  <a:t>Billion $</a:t>
                </a:r>
              </a:p>
            </c:rich>
          </c:tx>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828160"/>
        <c:crosses val="autoZero"/>
        <c:crossBetween val="between"/>
      </c:valAx>
    </c:plotArea>
    <c:legend>
      <c:legendPos val="r"/>
      <c:overlay val="0"/>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Stock of Highways and Streets in US</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HighwaysStreets!$C$2:$BD$2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HighwaysStreets!$C$4:$BD$4</c:f>
              <c:numCache>
                <c:formatCode>#,##0.00</c:formatCode>
                <c:ptCount val="54"/>
                <c:pt idx="0">
                  <c:v>83.9</c:v>
                </c:pt>
                <c:pt idx="1">
                  <c:v>89.5</c:v>
                </c:pt>
                <c:pt idx="2">
                  <c:v>97.6</c:v>
                </c:pt>
                <c:pt idx="3">
                  <c:v>105.4</c:v>
                </c:pt>
                <c:pt idx="4">
                  <c:v>111.2</c:v>
                </c:pt>
                <c:pt idx="5">
                  <c:v>122.1</c:v>
                </c:pt>
                <c:pt idx="6">
                  <c:v>135.80000000000001</c:v>
                </c:pt>
                <c:pt idx="7">
                  <c:v>148.80000000000001</c:v>
                </c:pt>
                <c:pt idx="8">
                  <c:v>161.30000000000001</c:v>
                </c:pt>
                <c:pt idx="9">
                  <c:v>181.7</c:v>
                </c:pt>
                <c:pt idx="10">
                  <c:v>212.1</c:v>
                </c:pt>
                <c:pt idx="11">
                  <c:v>226.6</c:v>
                </c:pt>
                <c:pt idx="12">
                  <c:v>246.4</c:v>
                </c:pt>
                <c:pt idx="13">
                  <c:v>290.5</c:v>
                </c:pt>
                <c:pt idx="14">
                  <c:v>385.9</c:v>
                </c:pt>
                <c:pt idx="15">
                  <c:v>383.1</c:v>
                </c:pt>
                <c:pt idx="16">
                  <c:v>378.5</c:v>
                </c:pt>
                <c:pt idx="17">
                  <c:v>383.8</c:v>
                </c:pt>
                <c:pt idx="18">
                  <c:v>405.5</c:v>
                </c:pt>
                <c:pt idx="19">
                  <c:v>468.7</c:v>
                </c:pt>
                <c:pt idx="20">
                  <c:v>565.20000000000005</c:v>
                </c:pt>
                <c:pt idx="21">
                  <c:v>646.79999999999995</c:v>
                </c:pt>
                <c:pt idx="22">
                  <c:v>674</c:v>
                </c:pt>
                <c:pt idx="23">
                  <c:v>651.6</c:v>
                </c:pt>
                <c:pt idx="24">
                  <c:v>648.9</c:v>
                </c:pt>
                <c:pt idx="25">
                  <c:v>679.7</c:v>
                </c:pt>
                <c:pt idx="26">
                  <c:v>733.8</c:v>
                </c:pt>
                <c:pt idx="27">
                  <c:v>779.5</c:v>
                </c:pt>
                <c:pt idx="28">
                  <c:v>794.5</c:v>
                </c:pt>
                <c:pt idx="29">
                  <c:v>826.4</c:v>
                </c:pt>
                <c:pt idx="30">
                  <c:v>868.4</c:v>
                </c:pt>
                <c:pt idx="31">
                  <c:v>888.5</c:v>
                </c:pt>
                <c:pt idx="32">
                  <c:v>908.9</c:v>
                </c:pt>
                <c:pt idx="33">
                  <c:v>940.4</c:v>
                </c:pt>
                <c:pt idx="34">
                  <c:v>1003.7</c:v>
                </c:pt>
                <c:pt idx="35">
                  <c:v>1073.7</c:v>
                </c:pt>
                <c:pt idx="36">
                  <c:v>1127</c:v>
                </c:pt>
                <c:pt idx="37">
                  <c:v>1209.0999999999999</c:v>
                </c:pt>
                <c:pt idx="38">
                  <c:v>1252.9000000000001</c:v>
                </c:pt>
                <c:pt idx="39">
                  <c:v>1335.2</c:v>
                </c:pt>
                <c:pt idx="40">
                  <c:v>1435.2</c:v>
                </c:pt>
                <c:pt idx="41">
                  <c:v>1498.3</c:v>
                </c:pt>
                <c:pt idx="42">
                  <c:v>1560.1</c:v>
                </c:pt>
                <c:pt idx="43">
                  <c:v>1594</c:v>
                </c:pt>
                <c:pt idx="44">
                  <c:v>1837.6</c:v>
                </c:pt>
                <c:pt idx="45">
                  <c:v>2056</c:v>
                </c:pt>
                <c:pt idx="46">
                  <c:v>2350</c:v>
                </c:pt>
                <c:pt idx="47">
                  <c:v>2635</c:v>
                </c:pt>
                <c:pt idx="48">
                  <c:v>2803</c:v>
                </c:pt>
                <c:pt idx="49">
                  <c:v>2830</c:v>
                </c:pt>
                <c:pt idx="50">
                  <c:v>2935</c:v>
                </c:pt>
                <c:pt idx="51">
                  <c:v>3130</c:v>
                </c:pt>
                <c:pt idx="52">
                  <c:v>3264</c:v>
                </c:pt>
                <c:pt idx="53">
                  <c:v>3343.2</c:v>
                </c:pt>
              </c:numCache>
            </c:numRef>
          </c:val>
          <c:smooth val="0"/>
        </c:ser>
        <c:dLbls>
          <c:showLegendKey val="0"/>
          <c:showVal val="0"/>
          <c:showCatName val="0"/>
          <c:showSerName val="0"/>
          <c:showPercent val="0"/>
          <c:showBubbleSize val="0"/>
        </c:dLbls>
        <c:marker val="1"/>
        <c:smooth val="0"/>
        <c:axId val="47264512"/>
        <c:axId val="47266432"/>
      </c:lineChart>
      <c:catAx>
        <c:axId val="472645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7266432"/>
        <c:crosses val="autoZero"/>
        <c:auto val="1"/>
        <c:lblAlgn val="ctr"/>
        <c:lblOffset val="100"/>
        <c:tickLblSkip val="3"/>
        <c:noMultiLvlLbl val="0"/>
      </c:catAx>
      <c:valAx>
        <c:axId val="47266432"/>
        <c:scaling>
          <c:orientation val="minMax"/>
        </c:scaling>
        <c:delete val="0"/>
        <c:axPos val="l"/>
        <c:majorGridlines/>
        <c:title>
          <c:tx>
            <c:rich>
              <a:bodyPr/>
              <a:lstStyle/>
              <a:p>
                <a:pPr>
                  <a:defRPr/>
                </a:pPr>
                <a:r>
                  <a:rPr lang="en-US"/>
                  <a:t>Billion $</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264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Services of Highways and Streets in US</a:t>
            </a:r>
          </a:p>
        </c:rich>
      </c:tx>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HighwaysStreets!$C$2:$BD$2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HighwaysStreets!$C$5:$BD$5</c:f>
              <c:numCache>
                <c:formatCode>0.000</c:formatCode>
                <c:ptCount val="54"/>
                <c:pt idx="0">
                  <c:v>36.607043918918841</c:v>
                </c:pt>
                <c:pt idx="1">
                  <c:v>38.658612040133825</c:v>
                </c:pt>
                <c:pt idx="2">
                  <c:v>41.738543046357584</c:v>
                </c:pt>
                <c:pt idx="3">
                  <c:v>44.484999999999935</c:v>
                </c:pt>
                <c:pt idx="4">
                  <c:v>46.327354838709581</c:v>
                </c:pt>
                <c:pt idx="5">
                  <c:v>50.0609999999999</c:v>
                </c:pt>
                <c:pt idx="6">
                  <c:v>54.131388888888779</c:v>
                </c:pt>
                <c:pt idx="7">
                  <c:v>57.537485029940051</c:v>
                </c:pt>
                <c:pt idx="8">
                  <c:v>59.861767241379241</c:v>
                </c:pt>
                <c:pt idx="9">
                  <c:v>63.941566757493142</c:v>
                </c:pt>
                <c:pt idx="10">
                  <c:v>70.59978092783517</c:v>
                </c:pt>
                <c:pt idx="11">
                  <c:v>72.260222222222211</c:v>
                </c:pt>
                <c:pt idx="12">
                  <c:v>76.13052631578941</c:v>
                </c:pt>
                <c:pt idx="13">
                  <c:v>84.500168918919044</c:v>
                </c:pt>
                <c:pt idx="14">
                  <c:v>101.09327586206892</c:v>
                </c:pt>
                <c:pt idx="15">
                  <c:v>91.965362453531498</c:v>
                </c:pt>
                <c:pt idx="16">
                  <c:v>85.910852372583548</c:v>
                </c:pt>
                <c:pt idx="17">
                  <c:v>81.795000000000059</c:v>
                </c:pt>
                <c:pt idx="18">
                  <c:v>80.322584355828241</c:v>
                </c:pt>
                <c:pt idx="19">
                  <c:v>83.378243801652872</c:v>
                </c:pt>
                <c:pt idx="20">
                  <c:v>88.58686893203884</c:v>
                </c:pt>
                <c:pt idx="21">
                  <c:v>91.896831683168372</c:v>
                </c:pt>
                <c:pt idx="22">
                  <c:v>90.204248704663271</c:v>
                </c:pt>
                <c:pt idx="23">
                  <c:v>84.492108433734927</c:v>
                </c:pt>
                <c:pt idx="24">
                  <c:v>80.659706448508217</c:v>
                </c:pt>
                <c:pt idx="25">
                  <c:v>81.58295074349445</c:v>
                </c:pt>
                <c:pt idx="26">
                  <c:v>86.469224452554798</c:v>
                </c:pt>
                <c:pt idx="27">
                  <c:v>88.620092429577468</c:v>
                </c:pt>
                <c:pt idx="28">
                  <c:v>86.73683431952665</c:v>
                </c:pt>
                <c:pt idx="29">
                  <c:v>86.072225806451669</c:v>
                </c:pt>
                <c:pt idx="30">
                  <c:v>85.810145371078775</c:v>
                </c:pt>
                <c:pt idx="31">
                  <c:v>84.250936123348083</c:v>
                </c:pt>
                <c:pt idx="32">
                  <c:v>83.66673913043482</c:v>
                </c:pt>
                <c:pt idx="33">
                  <c:v>84.050283737024174</c:v>
                </c:pt>
                <c:pt idx="34">
                  <c:v>87.468188259109354</c:v>
                </c:pt>
                <c:pt idx="35">
                  <c:v>90.989734251968557</c:v>
                </c:pt>
                <c:pt idx="36">
                  <c:v>92.767399617590826</c:v>
                </c:pt>
                <c:pt idx="37">
                  <c:v>97.292999999999978</c:v>
                </c:pt>
                <c:pt idx="38">
                  <c:v>99.271187116564448</c:v>
                </c:pt>
                <c:pt idx="39">
                  <c:v>103.50605042016807</c:v>
                </c:pt>
                <c:pt idx="40">
                  <c:v>107.64</c:v>
                </c:pt>
                <c:pt idx="41">
                  <c:v>109.26337944664024</c:v>
                </c:pt>
                <c:pt idx="42">
                  <c:v>111.99939688715951</c:v>
                </c:pt>
                <c:pt idx="43">
                  <c:v>111.88320652173917</c:v>
                </c:pt>
                <c:pt idx="44">
                  <c:v>125.63580730545259</c:v>
                </c:pt>
                <c:pt idx="45">
                  <c:v>135.96129032258057</c:v>
                </c:pt>
                <c:pt idx="46">
                  <c:v>150.54687500000003</c:v>
                </c:pt>
                <c:pt idx="47">
                  <c:v>164.16316931982627</c:v>
                </c:pt>
                <c:pt idx="48">
                  <c:v>168.14094287041334</c:v>
                </c:pt>
                <c:pt idx="49">
                  <c:v>170.35479074710204</c:v>
                </c:pt>
                <c:pt idx="50">
                  <c:v>173.87440758293837</c:v>
                </c:pt>
                <c:pt idx="51">
                  <c:v>179.71264350217263</c:v>
                </c:pt>
                <c:pt idx="52">
                  <c:v>183.64591147786945</c:v>
                </c:pt>
                <c:pt idx="53">
                  <c:v>184.58518442517823</c:v>
                </c:pt>
              </c:numCache>
            </c:numRef>
          </c:val>
          <c:smooth val="0"/>
        </c:ser>
        <c:dLbls>
          <c:showLegendKey val="0"/>
          <c:showVal val="0"/>
          <c:showCatName val="0"/>
          <c:showSerName val="0"/>
          <c:showPercent val="0"/>
          <c:showBubbleSize val="0"/>
        </c:dLbls>
        <c:marker val="1"/>
        <c:smooth val="0"/>
        <c:axId val="47282432"/>
        <c:axId val="47481216"/>
      </c:lineChart>
      <c:catAx>
        <c:axId val="4728243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7481216"/>
        <c:crosses val="autoZero"/>
        <c:auto val="1"/>
        <c:lblAlgn val="ctr"/>
        <c:lblOffset val="100"/>
        <c:tickLblSkip val="3"/>
        <c:noMultiLvlLbl val="0"/>
      </c:catAx>
      <c:valAx>
        <c:axId val="47481216"/>
        <c:scaling>
          <c:orientation val="minMax"/>
        </c:scaling>
        <c:delete val="0"/>
        <c:axPos val="l"/>
        <c:majorGridlines/>
        <c:title>
          <c:tx>
            <c:rich>
              <a:bodyPr/>
              <a:lstStyle/>
              <a:p>
                <a:pPr>
                  <a:defRPr/>
                </a:pPr>
                <a:r>
                  <a:rPr lang="en-US"/>
                  <a:t>Billio</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282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CostCommuting!$C$2:$BD$2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CostCommuting!$C$3:$BD$3</c:f>
              <c:numCache>
                <c:formatCode>0.000000</c:formatCode>
                <c:ptCount val="54"/>
                <c:pt idx="0">
                  <c:v>1.4915518772699941</c:v>
                </c:pt>
                <c:pt idx="1">
                  <c:v>1.5509026834535378</c:v>
                </c:pt>
                <c:pt idx="2">
                  <c:v>1.6675896783894353</c:v>
                </c:pt>
                <c:pt idx="3">
                  <c:v>1.7539096278874513</c:v>
                </c:pt>
                <c:pt idx="4">
                  <c:v>1.8874406990152881</c:v>
                </c:pt>
                <c:pt idx="5">
                  <c:v>2.0296568559264192</c:v>
                </c:pt>
                <c:pt idx="6">
                  <c:v>2.1779479271989932</c:v>
                </c:pt>
                <c:pt idx="7">
                  <c:v>2.2947789800004101</c:v>
                </c:pt>
                <c:pt idx="8">
                  <c:v>2.4318663337686925</c:v>
                </c:pt>
                <c:pt idx="9">
                  <c:v>2.6022484838838973</c:v>
                </c:pt>
                <c:pt idx="10">
                  <c:v>2.6735196036152216</c:v>
                </c:pt>
                <c:pt idx="11">
                  <c:v>2.7800514087123926</c:v>
                </c:pt>
                <c:pt idx="12">
                  <c:v>2.9549260230079897</c:v>
                </c:pt>
                <c:pt idx="13">
                  <c:v>3.0882193333469692</c:v>
                </c:pt>
                <c:pt idx="14">
                  <c:v>3.043685266818533</c:v>
                </c:pt>
                <c:pt idx="15">
                  <c:v>2.9566224180012259</c:v>
                </c:pt>
                <c:pt idx="16">
                  <c:v>3.083953684728642</c:v>
                </c:pt>
                <c:pt idx="17">
                  <c:v>3.2450141978297169</c:v>
                </c:pt>
                <c:pt idx="18">
                  <c:v>3.4692290821086997</c:v>
                </c:pt>
                <c:pt idx="19">
                  <c:v>3.5294647072496983</c:v>
                </c:pt>
                <c:pt idx="20">
                  <c:v>3.5089747025576745</c:v>
                </c:pt>
                <c:pt idx="21">
                  <c:v>3.5371363550418131</c:v>
                </c:pt>
                <c:pt idx="22">
                  <c:v>3.5947266487227436</c:v>
                </c:pt>
                <c:pt idx="23">
                  <c:v>3.8028785641437834</c:v>
                </c:pt>
                <c:pt idx="24">
                  <c:v>4.1823229744025925</c:v>
                </c:pt>
                <c:pt idx="25">
                  <c:v>4.4540448310187868</c:v>
                </c:pt>
                <c:pt idx="26">
                  <c:v>4.7954398826396769</c:v>
                </c:pt>
                <c:pt idx="27">
                  <c:v>5.0677963027353874</c:v>
                </c:pt>
                <c:pt idx="28">
                  <c:v>5.3526582127309839</c:v>
                </c:pt>
                <c:pt idx="29">
                  <c:v>5.5915219448574716</c:v>
                </c:pt>
                <c:pt idx="30">
                  <c:v>5.6510048744488257</c:v>
                </c:pt>
                <c:pt idx="31">
                  <c:v>5.5787352043764331</c:v>
                </c:pt>
                <c:pt idx="32">
                  <c:v>5.7100393142222376</c:v>
                </c:pt>
                <c:pt idx="33">
                  <c:v>5.7675343198539082</c:v>
                </c:pt>
                <c:pt idx="34">
                  <c:v>5.9682503966249278</c:v>
                </c:pt>
                <c:pt idx="35">
                  <c:v>6.0975534875815676</c:v>
                </c:pt>
                <c:pt idx="36">
                  <c:v>6.3014274170932882</c:v>
                </c:pt>
                <c:pt idx="37">
                  <c:v>6.5701455172753835</c:v>
                </c:pt>
                <c:pt idx="38">
                  <c:v>6.9310886591021559</c:v>
                </c:pt>
                <c:pt idx="39">
                  <c:v>7.23900889234839</c:v>
                </c:pt>
                <c:pt idx="40">
                  <c:v>7.6736100334649686</c:v>
                </c:pt>
                <c:pt idx="41">
                  <c:v>7.6710900920863621</c:v>
                </c:pt>
                <c:pt idx="42">
                  <c:v>7.7134173620299755</c:v>
                </c:pt>
                <c:pt idx="43">
                  <c:v>7.6803385827666704</c:v>
                </c:pt>
                <c:pt idx="44">
                  <c:v>7.9907094346622509</c:v>
                </c:pt>
                <c:pt idx="45">
                  <c:v>8.4320529285475061</c:v>
                </c:pt>
                <c:pt idx="46">
                  <c:v>8.7016105911680075</c:v>
                </c:pt>
                <c:pt idx="47">
                  <c:v>8.9645854103388842</c:v>
                </c:pt>
                <c:pt idx="48">
                  <c:v>8.8756676606737521</c:v>
                </c:pt>
                <c:pt idx="49">
                  <c:v>9.1089726467286365</c:v>
                </c:pt>
                <c:pt idx="50">
                  <c:v>9.247385247253245</c:v>
                </c:pt>
                <c:pt idx="51">
                  <c:v>9.5757214539036575</c:v>
                </c:pt>
                <c:pt idx="52">
                  <c:v>9.8601234937609004</c:v>
                </c:pt>
                <c:pt idx="53">
                  <c:v>10.563434248995854</c:v>
                </c:pt>
              </c:numCache>
            </c:numRef>
          </c:val>
          <c:smooth val="0"/>
        </c:ser>
        <c:dLbls>
          <c:showLegendKey val="0"/>
          <c:showVal val="0"/>
          <c:showCatName val="0"/>
          <c:showSerName val="0"/>
          <c:showPercent val="0"/>
          <c:showBubbleSize val="0"/>
        </c:dLbls>
        <c:marker val="1"/>
        <c:smooth val="0"/>
        <c:axId val="47604096"/>
        <c:axId val="47606016"/>
      </c:lineChart>
      <c:catAx>
        <c:axId val="47604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7606016"/>
        <c:crosses val="autoZero"/>
        <c:auto val="1"/>
        <c:lblAlgn val="ctr"/>
        <c:lblOffset val="100"/>
        <c:tickLblSkip val="3"/>
        <c:noMultiLvlLbl val="0"/>
      </c:catAx>
      <c:valAx>
        <c:axId val="47606016"/>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604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CostCommuting!$C$2:$BD$2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CostCommuting!$C$4:$BD$4</c:f>
              <c:numCache>
                <c:formatCode>#,##0</c:formatCode>
                <c:ptCount val="54"/>
                <c:pt idx="0">
                  <c:v>217332207.02918917</c:v>
                </c:pt>
                <c:pt idx="1">
                  <c:v>220530406.731291</c:v>
                </c:pt>
                <c:pt idx="2">
                  <c:v>223665066.04196033</c:v>
                </c:pt>
                <c:pt idx="3">
                  <c:v>225997085.87152949</c:v>
                </c:pt>
                <c:pt idx="4">
                  <c:v>228268924.54420653</c:v>
                </c:pt>
                <c:pt idx="5">
                  <c:v>229751190.28800008</c:v>
                </c:pt>
                <c:pt idx="6">
                  <c:v>228332973.0640001</c:v>
                </c:pt>
                <c:pt idx="7">
                  <c:v>226311801.21183246</c:v>
                </c:pt>
                <c:pt idx="8">
                  <c:v>221828735.45048279</c:v>
                </c:pt>
                <c:pt idx="9">
                  <c:v>215603024.34655914</c:v>
                </c:pt>
                <c:pt idx="10">
                  <c:v>208907783.33403713</c:v>
                </c:pt>
                <c:pt idx="11">
                  <c:v>204904024.52352002</c:v>
                </c:pt>
                <c:pt idx="12">
                  <c:v>203148420.8862316</c:v>
                </c:pt>
                <c:pt idx="13">
                  <c:v>195598986.32627028</c:v>
                </c:pt>
                <c:pt idx="14">
                  <c:v>180072738.18921545</c:v>
                </c:pt>
                <c:pt idx="15">
                  <c:v>168598085.36375913</c:v>
                </c:pt>
                <c:pt idx="16">
                  <c:v>162858565.61096263</c:v>
                </c:pt>
                <c:pt idx="17">
                  <c:v>156150623.33262879</c:v>
                </c:pt>
                <c:pt idx="18">
                  <c:v>148141152.83206809</c:v>
                </c:pt>
                <c:pt idx="19">
                  <c:v>136406698.42017704</c:v>
                </c:pt>
                <c:pt idx="20">
                  <c:v>123148658.32474349</c:v>
                </c:pt>
                <c:pt idx="21">
                  <c:v>114320930.5457962</c:v>
                </c:pt>
                <c:pt idx="22">
                  <c:v>110218608.57271387</c:v>
                </c:pt>
                <c:pt idx="23">
                  <c:v>109241153.29237853</c:v>
                </c:pt>
                <c:pt idx="24">
                  <c:v>107071626.64653429</c:v>
                </c:pt>
                <c:pt idx="25">
                  <c:v>105660456.77722052</c:v>
                </c:pt>
                <c:pt idx="26">
                  <c:v>105961571.98798303</c:v>
                </c:pt>
                <c:pt idx="27">
                  <c:v>104381262.59275486</c:v>
                </c:pt>
                <c:pt idx="28">
                  <c:v>102299531.45554496</c:v>
                </c:pt>
                <c:pt idx="29">
                  <c:v>101672772.35608532</c:v>
                </c:pt>
                <c:pt idx="30">
                  <c:v>104842018.17332971</c:v>
                </c:pt>
                <c:pt idx="31">
                  <c:v>101653262.49317041</c:v>
                </c:pt>
                <c:pt idx="32">
                  <c:v>110882617.44123606</c:v>
                </c:pt>
                <c:pt idx="33">
                  <c:v>113904074.5750106</c:v>
                </c:pt>
                <c:pt idx="34">
                  <c:v>111919960.0555779</c:v>
                </c:pt>
                <c:pt idx="35">
                  <c:v>108979669.54561849</c:v>
                </c:pt>
                <c:pt idx="36">
                  <c:v>111638361.49371491</c:v>
                </c:pt>
                <c:pt idx="37">
                  <c:v>109030308.882489</c:v>
                </c:pt>
                <c:pt idx="38">
                  <c:v>110065297.98745458</c:v>
                </c:pt>
                <c:pt idx="39">
                  <c:v>108810306.52730964</c:v>
                </c:pt>
                <c:pt idx="40">
                  <c:v>113618723.67149909</c:v>
                </c:pt>
                <c:pt idx="41">
                  <c:v>102151188.05142479</c:v>
                </c:pt>
                <c:pt idx="42">
                  <c:v>98126896.208479971</c:v>
                </c:pt>
                <c:pt idx="43">
                  <c:v>115103961.50759327</c:v>
                </c:pt>
                <c:pt idx="44">
                  <c:v>112850783.90662134</c:v>
                </c:pt>
                <c:pt idx="45">
                  <c:v>112643963.98593132</c:v>
                </c:pt>
                <c:pt idx="46">
                  <c:v>114803388.37666665</c:v>
                </c:pt>
                <c:pt idx="47">
                  <c:v>113219645.35698988</c:v>
                </c:pt>
                <c:pt idx="48">
                  <c:v>109036637.59747328</c:v>
                </c:pt>
                <c:pt idx="49">
                  <c:v>110551764.57085437</c:v>
                </c:pt>
                <c:pt idx="50">
                  <c:v>114388561.89573461</c:v>
                </c:pt>
                <c:pt idx="51">
                  <c:v>113198097.12061687</c:v>
                </c:pt>
                <c:pt idx="52">
                  <c:v>110964594.08852215</c:v>
                </c:pt>
                <c:pt idx="53">
                  <c:v>110964594.08852215</c:v>
                </c:pt>
              </c:numCache>
            </c:numRef>
          </c:val>
          <c:smooth val="0"/>
        </c:ser>
        <c:dLbls>
          <c:showLegendKey val="0"/>
          <c:showVal val="0"/>
          <c:showCatName val="0"/>
          <c:showSerName val="0"/>
          <c:showPercent val="0"/>
          <c:showBubbleSize val="0"/>
        </c:dLbls>
        <c:marker val="1"/>
        <c:smooth val="0"/>
        <c:axId val="47662208"/>
        <c:axId val="47664128"/>
      </c:lineChart>
      <c:catAx>
        <c:axId val="4766220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7664128"/>
        <c:crosses val="autoZero"/>
        <c:auto val="1"/>
        <c:lblAlgn val="ctr"/>
        <c:lblOffset val="100"/>
        <c:tickLblSkip val="3"/>
        <c:noMultiLvlLbl val="0"/>
      </c:catAx>
      <c:valAx>
        <c:axId val="47664128"/>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662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CostCommuting!$C$2:$BD$2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CostCommuting!$C$5:$BD$5</c:f>
              <c:numCache>
                <c:formatCode>#,##0</c:formatCode>
                <c:ptCount val="54"/>
                <c:pt idx="0">
                  <c:v>1089143.6323947699</c:v>
                </c:pt>
                <c:pt idx="1">
                  <c:v>1099238.2772702556</c:v>
                </c:pt>
                <c:pt idx="2">
                  <c:v>1141624.0515593102</c:v>
                </c:pt>
                <c:pt idx="3">
                  <c:v>1182535.1475541515</c:v>
                </c:pt>
                <c:pt idx="4">
                  <c:v>1225028.1145467847</c:v>
                </c:pt>
                <c:pt idx="5">
                  <c:v>1270815.133475699</c:v>
                </c:pt>
                <c:pt idx="6">
                  <c:v>1312458.5446859922</c:v>
                </c:pt>
                <c:pt idx="7">
                  <c:v>1334480.8531489233</c:v>
                </c:pt>
                <c:pt idx="8">
                  <c:v>1357474.1761566077</c:v>
                </c:pt>
                <c:pt idx="9">
                  <c:v>1377545.4446348217</c:v>
                </c:pt>
                <c:pt idx="10">
                  <c:v>1380268.2034308624</c:v>
                </c:pt>
                <c:pt idx="11">
                  <c:v>1400737.3363063487</c:v>
                </c:pt>
                <c:pt idx="12">
                  <c:v>1423741.5343679884</c:v>
                </c:pt>
                <c:pt idx="13">
                  <c:v>1441472.7567940052</c:v>
                </c:pt>
                <c:pt idx="14">
                  <c:v>1439821.1097622749</c:v>
                </c:pt>
                <c:pt idx="15">
                  <c:v>1409185.6000409836</c:v>
                </c:pt>
                <c:pt idx="16">
                  <c:v>1423681.0362187501</c:v>
                </c:pt>
                <c:pt idx="17">
                  <c:v>1472888.4078606248</c:v>
                </c:pt>
                <c:pt idx="18">
                  <c:v>1538660.508285</c:v>
                </c:pt>
                <c:pt idx="19">
                  <c:v>1579108.1434424999</c:v>
                </c:pt>
                <c:pt idx="20">
                  <c:v>1589980.0431260415</c:v>
                </c:pt>
                <c:pt idx="21">
                  <c:v>1596115.97521375</c:v>
                </c:pt>
                <c:pt idx="22">
                  <c:v>1591322.574195521</c:v>
                </c:pt>
                <c:pt idx="23">
                  <c:v>1620461.717311146</c:v>
                </c:pt>
                <c:pt idx="24">
                  <c:v>1686845.8307249998</c:v>
                </c:pt>
                <c:pt idx="25">
                  <c:v>1720403.316323125</c:v>
                </c:pt>
                <c:pt idx="26">
                  <c:v>1779821.9050295835</c:v>
                </c:pt>
                <c:pt idx="27">
                  <c:v>1830944.7273562502</c:v>
                </c:pt>
                <c:pt idx="28">
                  <c:v>1876452.9789927085</c:v>
                </c:pt>
                <c:pt idx="29">
                  <c:v>1926800.4393762504</c:v>
                </c:pt>
                <c:pt idx="30">
                  <c:v>1960091.0146666667</c:v>
                </c:pt>
                <c:pt idx="31">
                  <c:v>1960432.8223329168</c:v>
                </c:pt>
                <c:pt idx="32">
                  <c:v>1975580.66411</c:v>
                </c:pt>
                <c:pt idx="33">
                  <c:v>1988764.4719793752</c:v>
                </c:pt>
                <c:pt idx="34">
                  <c:v>2023660.0400312501</c:v>
                </c:pt>
                <c:pt idx="35">
                  <c:v>2045394.6927853127</c:v>
                </c:pt>
                <c:pt idx="36">
                  <c:v>2079344.3181787501</c:v>
                </c:pt>
                <c:pt idx="37">
                  <c:v>2103942.6035315627</c:v>
                </c:pt>
                <c:pt idx="38">
                  <c:v>2115256.72293125</c:v>
                </c:pt>
                <c:pt idx="39">
                  <c:v>2137122.4108150001</c:v>
                </c:pt>
                <c:pt idx="40">
                  <c:v>2155728.7335782293</c:v>
                </c:pt>
                <c:pt idx="41">
                  <c:v>2156291.2273537503</c:v>
                </c:pt>
                <c:pt idx="42">
                  <c:v>2173030.4332956248</c:v>
                </c:pt>
                <c:pt idx="43">
                  <c:v>2179376.0214141668</c:v>
                </c:pt>
                <c:pt idx="44">
                  <c:v>2195133.8705999996</c:v>
                </c:pt>
                <c:pt idx="45">
                  <c:v>2235330.2901299996</c:v>
                </c:pt>
                <c:pt idx="46">
                  <c:v>2282085.1782300002</c:v>
                </c:pt>
                <c:pt idx="47">
                  <c:v>2292087.2131499997</c:v>
                </c:pt>
                <c:pt idx="48">
                  <c:v>2278318.7941800002</c:v>
                </c:pt>
                <c:pt idx="49">
                  <c:v>2208388.3650000002</c:v>
                </c:pt>
                <c:pt idx="50">
                  <c:v>2191873.83</c:v>
                </c:pt>
                <c:pt idx="51">
                  <c:v>2271464.46</c:v>
                </c:pt>
                <c:pt idx="52">
                  <c:v>2313108.9449999998</c:v>
                </c:pt>
                <c:pt idx="53">
                  <c:v>2319906.7578600002</c:v>
                </c:pt>
              </c:numCache>
            </c:numRef>
          </c:val>
          <c:smooth val="0"/>
        </c:ser>
        <c:dLbls>
          <c:showLegendKey val="0"/>
          <c:showVal val="0"/>
          <c:showCatName val="0"/>
          <c:showSerName val="0"/>
          <c:showPercent val="0"/>
          <c:showBubbleSize val="0"/>
        </c:dLbls>
        <c:marker val="1"/>
        <c:smooth val="0"/>
        <c:axId val="47679360"/>
        <c:axId val="47726592"/>
      </c:lineChart>
      <c:catAx>
        <c:axId val="4767936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7726592"/>
        <c:crosses val="autoZero"/>
        <c:auto val="1"/>
        <c:lblAlgn val="ctr"/>
        <c:lblOffset val="100"/>
        <c:tickLblSkip val="3"/>
        <c:noMultiLvlLbl val="0"/>
      </c:catAx>
      <c:valAx>
        <c:axId val="47726592"/>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679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CostCommuting!$C$2:$BD$2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CostCommuting!$C$6:$BD$6</c:f>
              <c:numCache>
                <c:formatCode>0.00</c:formatCode>
                <c:ptCount val="54"/>
                <c:pt idx="0">
                  <c:v>32.290116931352465</c:v>
                </c:pt>
                <c:pt idx="1">
                  <c:v>32.394278598872958</c:v>
                </c:pt>
                <c:pt idx="2">
                  <c:v>32.498440266393452</c:v>
                </c:pt>
                <c:pt idx="3">
                  <c:v>32.602601933913945</c:v>
                </c:pt>
                <c:pt idx="4">
                  <c:v>32.706763601434439</c:v>
                </c:pt>
                <c:pt idx="5">
                  <c:v>32.810925268954932</c:v>
                </c:pt>
                <c:pt idx="6">
                  <c:v>32.915086936475426</c:v>
                </c:pt>
                <c:pt idx="7">
                  <c:v>33.019248603995919</c:v>
                </c:pt>
                <c:pt idx="8">
                  <c:v>33.123410271516413</c:v>
                </c:pt>
                <c:pt idx="9">
                  <c:v>33.227571939036906</c:v>
                </c:pt>
                <c:pt idx="10">
                  <c:v>33.331733606557385</c:v>
                </c:pt>
                <c:pt idx="11">
                  <c:v>33.439255327868857</c:v>
                </c:pt>
                <c:pt idx="12">
                  <c:v>33.546777049180335</c:v>
                </c:pt>
                <c:pt idx="13">
                  <c:v>33.654298770491806</c:v>
                </c:pt>
                <c:pt idx="14">
                  <c:v>33.761820491803284</c:v>
                </c:pt>
                <c:pt idx="15">
                  <c:v>33.869342213114756</c:v>
                </c:pt>
                <c:pt idx="16">
                  <c:v>33.976863934426227</c:v>
                </c:pt>
                <c:pt idx="17">
                  <c:v>34.084385655737705</c:v>
                </c:pt>
                <c:pt idx="18">
                  <c:v>34.191907377049176</c:v>
                </c:pt>
                <c:pt idx="19">
                  <c:v>34.299429098360655</c:v>
                </c:pt>
                <c:pt idx="20">
                  <c:v>34.406950819672133</c:v>
                </c:pt>
                <c:pt idx="21">
                  <c:v>34.517940983606557</c:v>
                </c:pt>
                <c:pt idx="22">
                  <c:v>34.628931147540989</c:v>
                </c:pt>
                <c:pt idx="23">
                  <c:v>34.739921311475413</c:v>
                </c:pt>
                <c:pt idx="24">
                  <c:v>34.850911475409838</c:v>
                </c:pt>
                <c:pt idx="25">
                  <c:v>34.961901639344262</c:v>
                </c:pt>
                <c:pt idx="26">
                  <c:v>35.072891803278694</c:v>
                </c:pt>
                <c:pt idx="27">
                  <c:v>35.183881967213118</c:v>
                </c:pt>
                <c:pt idx="28">
                  <c:v>35.294872131147542</c:v>
                </c:pt>
                <c:pt idx="29">
                  <c:v>35.405862295081967</c:v>
                </c:pt>
                <c:pt idx="30">
                  <c:v>35.516852459016398</c:v>
                </c:pt>
                <c:pt idx="31">
                  <c:v>35.833967213114761</c:v>
                </c:pt>
                <c:pt idx="32">
                  <c:v>36.151081967213116</c:v>
                </c:pt>
                <c:pt idx="33">
                  <c:v>36.468196721311479</c:v>
                </c:pt>
                <c:pt idx="34">
                  <c:v>36.785311475409841</c:v>
                </c:pt>
                <c:pt idx="35">
                  <c:v>37.102426229508204</c:v>
                </c:pt>
                <c:pt idx="36">
                  <c:v>37.419540983606566</c:v>
                </c:pt>
                <c:pt idx="37">
                  <c:v>37.736655737704922</c:v>
                </c:pt>
                <c:pt idx="38">
                  <c:v>38.053770491803284</c:v>
                </c:pt>
                <c:pt idx="39">
                  <c:v>38.370885245901647</c:v>
                </c:pt>
                <c:pt idx="40">
                  <c:v>38.688000000000002</c:v>
                </c:pt>
                <c:pt idx="41">
                  <c:v>38.274666666666668</c:v>
                </c:pt>
                <c:pt idx="42">
                  <c:v>37.861333333333334</c:v>
                </c:pt>
                <c:pt idx="43">
                  <c:v>37.448</c:v>
                </c:pt>
                <c:pt idx="44">
                  <c:v>37.448</c:v>
                </c:pt>
                <c:pt idx="45">
                  <c:v>38.192</c:v>
                </c:pt>
                <c:pt idx="46">
                  <c:v>37.944000000000003</c:v>
                </c:pt>
                <c:pt idx="47">
                  <c:v>37.82</c:v>
                </c:pt>
                <c:pt idx="48">
                  <c:v>37.82</c:v>
                </c:pt>
                <c:pt idx="49">
                  <c:v>37.944000000000003</c:v>
                </c:pt>
                <c:pt idx="50">
                  <c:v>38.564</c:v>
                </c:pt>
                <c:pt idx="51">
                  <c:v>38.811999999999998</c:v>
                </c:pt>
                <c:pt idx="52">
                  <c:v>39.308</c:v>
                </c:pt>
                <c:pt idx="53">
                  <c:v>42.73796876658951</c:v>
                </c:pt>
              </c:numCache>
            </c:numRef>
          </c:val>
          <c:smooth val="0"/>
        </c:ser>
        <c:dLbls>
          <c:showLegendKey val="0"/>
          <c:showVal val="0"/>
          <c:showCatName val="0"/>
          <c:showSerName val="0"/>
          <c:showPercent val="0"/>
          <c:showBubbleSize val="0"/>
        </c:dLbls>
        <c:marker val="1"/>
        <c:smooth val="0"/>
        <c:axId val="47778432"/>
        <c:axId val="47784704"/>
      </c:lineChart>
      <c:catAx>
        <c:axId val="4777843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7784704"/>
        <c:crosses val="autoZero"/>
        <c:auto val="1"/>
        <c:lblAlgn val="ctr"/>
        <c:lblOffset val="100"/>
        <c:tickLblSkip val="3"/>
        <c:noMultiLvlLbl val="0"/>
      </c:catAx>
      <c:valAx>
        <c:axId val="47784704"/>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778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Cost of Family Change</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CostofFamilyChange!$C$2:$BD$2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CostofFamilyChange!$C$3:$BD$3</c:f>
              <c:numCache>
                <c:formatCode>0.000000</c:formatCode>
                <c:ptCount val="54"/>
                <c:pt idx="0">
                  <c:v>0.5733120867710001</c:v>
                </c:pt>
                <c:pt idx="1">
                  <c:v>0.60102902758400012</c:v>
                </c:pt>
                <c:pt idx="2">
                  <c:v>0.6422011046720002</c:v>
                </c:pt>
                <c:pt idx="3">
                  <c:v>0.6735498604350002</c:v>
                </c:pt>
                <c:pt idx="4">
                  <c:v>0.70589624987300004</c:v>
                </c:pt>
                <c:pt idx="5">
                  <c:v>0.73022794038599992</c:v>
                </c:pt>
                <c:pt idx="6">
                  <c:v>0.75543440617400026</c:v>
                </c:pt>
                <c:pt idx="7">
                  <c:v>0.79864510337700012</c:v>
                </c:pt>
                <c:pt idx="8">
                  <c:v>0.82725655597500014</c:v>
                </c:pt>
                <c:pt idx="9">
                  <c:v>0.86387558118800012</c:v>
                </c:pt>
                <c:pt idx="10">
                  <c:v>0.88754070067599999</c:v>
                </c:pt>
                <c:pt idx="11">
                  <c:v>0.91323415569440014</c:v>
                </c:pt>
                <c:pt idx="12">
                  <c:v>0.95701351721039996</c:v>
                </c:pt>
                <c:pt idx="13">
                  <c:v>1.0174205796239999</c:v>
                </c:pt>
                <c:pt idx="14">
                  <c:v>1.0379288923351999</c:v>
                </c:pt>
                <c:pt idx="15">
                  <c:v>1.0428606153440001</c:v>
                </c:pt>
                <c:pt idx="16">
                  <c:v>1.0609821066208001</c:v>
                </c:pt>
                <c:pt idx="17">
                  <c:v>1.0782419775968002</c:v>
                </c:pt>
                <c:pt idx="18">
                  <c:v>1.090799788272</c:v>
                </c:pt>
                <c:pt idx="19">
                  <c:v>1.1101867986464</c:v>
                </c:pt>
                <c:pt idx="20">
                  <c:v>1.1335234608800002</c:v>
                </c:pt>
                <c:pt idx="21">
                  <c:v>1.1389275610628486</c:v>
                </c:pt>
                <c:pt idx="22">
                  <c:v>1.0989437410634804</c:v>
                </c:pt>
                <c:pt idx="23">
                  <c:v>1.1414297211160511</c:v>
                </c:pt>
                <c:pt idx="24">
                  <c:v>1.1408994812205602</c:v>
                </c:pt>
                <c:pt idx="25">
                  <c:v>1.1574552013770072</c:v>
                </c:pt>
                <c:pt idx="26">
                  <c:v>1.1377260914546012</c:v>
                </c:pt>
                <c:pt idx="27">
                  <c:v>1.1409699615057702</c:v>
                </c:pt>
                <c:pt idx="28">
                  <c:v>1.1462796115305145</c:v>
                </c:pt>
                <c:pt idx="29">
                  <c:v>1.1243849615288339</c:v>
                </c:pt>
                <c:pt idx="30">
                  <c:v>1.1311239355360001</c:v>
                </c:pt>
                <c:pt idx="31">
                  <c:v>1.1603271657386962</c:v>
                </c:pt>
                <c:pt idx="32">
                  <c:v>1.2002026435125761</c:v>
                </c:pt>
                <c:pt idx="33">
                  <c:v>1.2068452433388399</c:v>
                </c:pt>
                <c:pt idx="34">
                  <c:v>1.23461368938024</c:v>
                </c:pt>
                <c:pt idx="35">
                  <c:v>1.2040606202491921</c:v>
                </c:pt>
                <c:pt idx="36">
                  <c:v>1.2288201748491978</c:v>
                </c:pt>
                <c:pt idx="37">
                  <c:v>1.21604418109976</c:v>
                </c:pt>
                <c:pt idx="38">
                  <c:v>1.2694964447540651</c:v>
                </c:pt>
                <c:pt idx="39">
                  <c:v>1.2969877316542202</c:v>
                </c:pt>
                <c:pt idx="40">
                  <c:v>1.346762433096</c:v>
                </c:pt>
                <c:pt idx="41">
                  <c:v>1.3690792348995546</c:v>
                </c:pt>
                <c:pt idx="42">
                  <c:v>1.3852769779117382</c:v>
                </c:pt>
                <c:pt idx="43">
                  <c:v>1.3745292766156025</c:v>
                </c:pt>
                <c:pt idx="44">
                  <c:v>1.3958756833149404</c:v>
                </c:pt>
                <c:pt idx="45">
                  <c:v>1.3970332143481308</c:v>
                </c:pt>
                <c:pt idx="46">
                  <c:v>1.3975519203040891</c:v>
                </c:pt>
                <c:pt idx="47">
                  <c:v>1.3630988975282836</c:v>
                </c:pt>
                <c:pt idx="48">
                  <c:v>1.3644478391411747</c:v>
                </c:pt>
                <c:pt idx="49">
                  <c:v>1.3740057312290819</c:v>
                </c:pt>
                <c:pt idx="50">
                  <c:v>1.3983761466539606</c:v>
                </c:pt>
                <c:pt idx="51">
                  <c:v>1.4221068637906646</c:v>
                </c:pt>
                <c:pt idx="52">
                  <c:v>1.4275050463870116</c:v>
                </c:pt>
                <c:pt idx="53">
                  <c:v>1.4618760878430013</c:v>
                </c:pt>
              </c:numCache>
            </c:numRef>
          </c:val>
          <c:smooth val="0"/>
        </c:ser>
        <c:dLbls>
          <c:showLegendKey val="0"/>
          <c:showVal val="0"/>
          <c:showCatName val="0"/>
          <c:showSerName val="0"/>
          <c:showPercent val="0"/>
          <c:showBubbleSize val="0"/>
        </c:dLbls>
        <c:marker val="1"/>
        <c:smooth val="0"/>
        <c:axId val="44484864"/>
        <c:axId val="44487040"/>
      </c:lineChart>
      <c:catAx>
        <c:axId val="444848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487040"/>
        <c:crosses val="autoZero"/>
        <c:auto val="1"/>
        <c:lblAlgn val="ctr"/>
        <c:lblOffset val="100"/>
        <c:tickLblSkip val="3"/>
        <c:noMultiLvlLbl val="0"/>
      </c:catAx>
      <c:valAx>
        <c:axId val="44487040"/>
        <c:scaling>
          <c:orientation val="minMax"/>
        </c:scaling>
        <c:delete val="0"/>
        <c:axPos val="l"/>
        <c:majorGridlines/>
        <c:title>
          <c:tx>
            <c:rich>
              <a:bodyPr/>
              <a:lstStyle/>
              <a:p>
                <a:pPr>
                  <a:defRPr/>
                </a:pPr>
                <a:r>
                  <a:rPr lang="en-US"/>
                  <a:t>Billion $</a:t>
                </a:r>
              </a:p>
            </c:rich>
          </c:tx>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484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CostCommuting!$C$2:$BD$2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CostCommuting!$C$7:$BD$7</c:f>
              <c:numCache>
                <c:formatCode>#,##0.00</c:formatCode>
                <c:ptCount val="54"/>
                <c:pt idx="0">
                  <c:v>15474173.107828638</c:v>
                </c:pt>
                <c:pt idx="1">
                  <c:v>15667973.640192641</c:v>
                </c:pt>
                <c:pt idx="2">
                  <c:v>16324440.46036246</c:v>
                </c:pt>
                <c:pt idx="3">
                  <c:v>16963637.982970886</c:v>
                </c:pt>
                <c:pt idx="4">
                  <c:v>17629350.176940762</c:v>
                </c:pt>
                <c:pt idx="5">
                  <c:v>18346512.965056386</c:v>
                </c:pt>
                <c:pt idx="6">
                  <c:v>19007862.32349816</c:v>
                </c:pt>
                <c:pt idx="7">
                  <c:v>19387964.220854621</c:v>
                </c:pt>
                <c:pt idx="8">
                  <c:v>19784236.590722587</c:v>
                </c:pt>
                <c:pt idx="9">
                  <c:v>20139895.758794293</c:v>
                </c:pt>
                <c:pt idx="10">
                  <c:v>20242962.107437987</c:v>
                </c:pt>
                <c:pt idx="11">
                  <c:v>20609429.911851838</c:v>
                </c:pt>
                <c:pt idx="12">
                  <c:v>21015253.524804365</c:v>
                </c:pt>
                <c:pt idx="13">
                  <c:v>21345172.123734768</c:v>
                </c:pt>
                <c:pt idx="14">
                  <c:v>21388832.013165284</c:v>
                </c:pt>
                <c:pt idx="15">
                  <c:v>21000403.305015877</c:v>
                </c:pt>
                <c:pt idx="16">
                  <c:v>21283775.41559606</c:v>
                </c:pt>
                <c:pt idx="17">
                  <c:v>22089098.469410293</c:v>
                </c:pt>
                <c:pt idx="18">
                  <c:v>23148284.536961816</c:v>
                </c:pt>
                <c:pt idx="19">
                  <c:v>23831503.434045978</c:v>
                </c:pt>
                <c:pt idx="20">
                  <c:v>24070800.66516307</c:v>
                </c:pt>
                <c:pt idx="21">
                  <c:v>24241640.295584735</c:v>
                </c:pt>
                <c:pt idx="22">
                  <c:v>24246551.93635153</c:v>
                </c:pt>
                <c:pt idx="23">
                  <c:v>24769673.520964913</c:v>
                </c:pt>
                <c:pt idx="24">
                  <c:v>25866770.4764749</c:v>
                </c:pt>
                <c:pt idx="25">
                  <c:v>26465371.471127938</c:v>
                </c:pt>
                <c:pt idx="26">
                  <c:v>27466340.485851496</c:v>
                </c:pt>
                <c:pt idx="27">
                  <c:v>28344686.997349143</c:v>
                </c:pt>
                <c:pt idx="28">
                  <c:v>29140833.899609752</c:v>
                </c:pt>
                <c:pt idx="29">
                  <c:v>30016813.651729938</c:v>
                </c:pt>
                <c:pt idx="30">
                  <c:v>30631155.884630293</c:v>
                </c:pt>
                <c:pt idx="31">
                  <c:v>30910037.610756382</c:v>
                </c:pt>
                <c:pt idx="32">
                  <c:v>31424526.549276054</c:v>
                </c:pt>
                <c:pt idx="33">
                  <c:v>31911727.758459561</c:v>
                </c:pt>
                <c:pt idx="34">
                  <c:v>32754024.552871551</c:v>
                </c:pt>
                <c:pt idx="35">
                  <c:v>33391206.507689647</c:v>
                </c:pt>
                <c:pt idx="36">
                  <c:v>34235568.370572448</c:v>
                </c:pt>
                <c:pt idx="37">
                  <c:v>34934133.397398919</c:v>
                </c:pt>
                <c:pt idx="38">
                  <c:v>35417137.30089467</c:v>
                </c:pt>
                <c:pt idx="39">
                  <c:v>36081442.664003901</c:v>
                </c:pt>
                <c:pt idx="40">
                  <c:v>36696366.627656803</c:v>
                </c:pt>
                <c:pt idx="41">
                  <c:v>36313784.303817831</c:v>
                </c:pt>
                <c:pt idx="42">
                  <c:v>36200485.014532708</c:v>
                </c:pt>
                <c:pt idx="43">
                  <c:v>35909840.229963794</c:v>
                </c:pt>
                <c:pt idx="44">
                  <c:v>36169484.201940663</c:v>
                </c:pt>
                <c:pt idx="45">
                  <c:v>37563563.153883778</c:v>
                </c:pt>
                <c:pt idx="46">
                  <c:v>38100233.601214014</c:v>
                </c:pt>
                <c:pt idx="47">
                  <c:v>38142164.896586515</c:v>
                </c:pt>
                <c:pt idx="48">
                  <c:v>37913047.390190549</c:v>
                </c:pt>
                <c:pt idx="49">
                  <c:v>36869838.773486406</c:v>
                </c:pt>
                <c:pt idx="50">
                  <c:v>37192065.847252801</c:v>
                </c:pt>
                <c:pt idx="51">
                  <c:v>38790434.5934688</c:v>
                </c:pt>
                <c:pt idx="52">
                  <c:v>40006422.020426393</c:v>
                </c:pt>
                <c:pt idx="53">
                  <c:v>43625165.125881076</c:v>
                </c:pt>
              </c:numCache>
            </c:numRef>
          </c:val>
          <c:smooth val="0"/>
        </c:ser>
        <c:dLbls>
          <c:showLegendKey val="0"/>
          <c:showVal val="0"/>
          <c:showCatName val="0"/>
          <c:showSerName val="0"/>
          <c:showPercent val="0"/>
          <c:showBubbleSize val="0"/>
        </c:dLbls>
        <c:marker val="1"/>
        <c:smooth val="0"/>
        <c:axId val="47803776"/>
        <c:axId val="47818240"/>
      </c:lineChart>
      <c:catAx>
        <c:axId val="478037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7818240"/>
        <c:crosses val="autoZero"/>
        <c:auto val="1"/>
        <c:lblAlgn val="ctr"/>
        <c:lblOffset val="100"/>
        <c:tickLblSkip val="3"/>
        <c:noMultiLvlLbl val="0"/>
      </c:catAx>
      <c:valAx>
        <c:axId val="47818240"/>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803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CostCommuting!$C$2:$BD$2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CostCommuting!$C$8:$BD$8</c:f>
              <c:numCache>
                <c:formatCode>#,##0</c:formatCode>
                <c:ptCount val="54"/>
                <c:pt idx="0">
                  <c:v>297293021.27768552</c:v>
                </c:pt>
                <c:pt idx="1">
                  <c:v>301016357.27698165</c:v>
                </c:pt>
                <c:pt idx="2">
                  <c:v>313628533.90037137</c:v>
                </c:pt>
                <c:pt idx="3">
                  <c:v>325908929.19938284</c:v>
                </c:pt>
                <c:pt idx="4">
                  <c:v>338698729.86062622</c:v>
                </c:pt>
                <c:pt idx="5">
                  <c:v>352477010.00142139</c:v>
                </c:pt>
                <c:pt idx="6">
                  <c:v>365182990.96215808</c:v>
                </c:pt>
                <c:pt idx="7">
                  <c:v>372485587.40275973</c:v>
                </c:pt>
                <c:pt idx="8">
                  <c:v>380098854.31311339</c:v>
                </c:pt>
                <c:pt idx="9">
                  <c:v>386931851.97213876</c:v>
                </c:pt>
                <c:pt idx="10">
                  <c:v>388911984.0261637</c:v>
                </c:pt>
                <c:pt idx="11">
                  <c:v>395952639.44703883</c:v>
                </c:pt>
                <c:pt idx="12">
                  <c:v>403749406.81934154</c:v>
                </c:pt>
                <c:pt idx="13">
                  <c:v>410087871.32844669</c:v>
                </c:pt>
                <c:pt idx="14">
                  <c:v>410926674.17413026</c:v>
                </c:pt>
                <c:pt idx="15">
                  <c:v>403464101.31856984</c:v>
                </c:pt>
                <c:pt idx="16">
                  <c:v>408908305.04520363</c:v>
                </c:pt>
                <c:pt idx="17">
                  <c:v>424380338.48470819</c:v>
                </c:pt>
                <c:pt idx="18">
                  <c:v>444729640.76557219</c:v>
                </c:pt>
                <c:pt idx="19">
                  <c:v>457855783.83588582</c:v>
                </c:pt>
                <c:pt idx="20">
                  <c:v>462453211.84230983</c:v>
                </c:pt>
                <c:pt idx="21">
                  <c:v>465735418.23408949</c:v>
                </c:pt>
                <c:pt idx="22">
                  <c:v>465829781.69459975</c:v>
                </c:pt>
                <c:pt idx="23">
                  <c:v>475880102.01230401</c:v>
                </c:pt>
                <c:pt idx="24">
                  <c:v>496957756.13090158</c:v>
                </c:pt>
                <c:pt idx="25">
                  <c:v>508458202.51987201</c:v>
                </c:pt>
                <c:pt idx="26">
                  <c:v>527689026.71441084</c:v>
                </c:pt>
                <c:pt idx="27">
                  <c:v>544564001.95943654</c:v>
                </c:pt>
                <c:pt idx="28">
                  <c:v>559859741.27323425</c:v>
                </c:pt>
                <c:pt idx="29">
                  <c:v>576689245.84651184</c:v>
                </c:pt>
                <c:pt idx="30">
                  <c:v>588492116.16757751</c:v>
                </c:pt>
                <c:pt idx="31">
                  <c:v>593850049.69729972</c:v>
                </c:pt>
                <c:pt idx="32">
                  <c:v>603734517.82885253</c:v>
                </c:pt>
                <c:pt idx="33">
                  <c:v>613094728.44812167</c:v>
                </c:pt>
                <c:pt idx="34">
                  <c:v>629277109.05601108</c:v>
                </c:pt>
                <c:pt idx="35">
                  <c:v>641518780.84884238</c:v>
                </c:pt>
                <c:pt idx="36">
                  <c:v>657740835.98024607</c:v>
                </c:pt>
                <c:pt idx="37">
                  <c:v>671161812.07615805</c:v>
                </c:pt>
                <c:pt idx="38">
                  <c:v>680441383.18852472</c:v>
                </c:pt>
                <c:pt idx="39">
                  <c:v>693204155.52366138</c:v>
                </c:pt>
                <c:pt idx="40">
                  <c:v>705018202.17652786</c:v>
                </c:pt>
                <c:pt idx="41">
                  <c:v>697667951.26819444</c:v>
                </c:pt>
                <c:pt idx="42">
                  <c:v>695491221.8374536</c:v>
                </c:pt>
                <c:pt idx="43">
                  <c:v>689907293.99064815</c:v>
                </c:pt>
                <c:pt idx="44">
                  <c:v>694895627.80000007</c:v>
                </c:pt>
                <c:pt idx="45">
                  <c:v>721678961.59333324</c:v>
                </c:pt>
                <c:pt idx="46">
                  <c:v>731989585.47000003</c:v>
                </c:pt>
                <c:pt idx="47">
                  <c:v>732795178.20833325</c:v>
                </c:pt>
                <c:pt idx="48">
                  <c:v>728393325.1833334</c:v>
                </c:pt>
                <c:pt idx="49">
                  <c:v>708350985</c:v>
                </c:pt>
                <c:pt idx="50">
                  <c:v>714541678.33333337</c:v>
                </c:pt>
                <c:pt idx="51">
                  <c:v>745249870</c:v>
                </c:pt>
                <c:pt idx="52">
                  <c:v>768611672.5</c:v>
                </c:pt>
                <c:pt idx="53">
                  <c:v>838135715.14523411</c:v>
                </c:pt>
              </c:numCache>
            </c:numRef>
          </c:val>
          <c:smooth val="0"/>
        </c:ser>
        <c:dLbls>
          <c:showLegendKey val="0"/>
          <c:showVal val="0"/>
          <c:showCatName val="0"/>
          <c:showSerName val="0"/>
          <c:showPercent val="0"/>
          <c:showBubbleSize val="0"/>
        </c:dLbls>
        <c:marker val="1"/>
        <c:smooth val="0"/>
        <c:axId val="48390528"/>
        <c:axId val="48392448"/>
      </c:lineChart>
      <c:catAx>
        <c:axId val="483905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8392448"/>
        <c:crosses val="autoZero"/>
        <c:auto val="1"/>
        <c:lblAlgn val="ctr"/>
        <c:lblOffset val="100"/>
        <c:tickLblSkip val="3"/>
        <c:noMultiLvlLbl val="0"/>
      </c:catAx>
      <c:valAx>
        <c:axId val="48392448"/>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390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CostCommuting!$C$2:$BD$2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CostCommuting!$C$9:$BD$9</c:f>
              <c:numCache>
                <c:formatCode>#,##0</c:formatCode>
                <c:ptCount val="54"/>
                <c:pt idx="0">
                  <c:v>1269577418.3084562</c:v>
                </c:pt>
                <c:pt idx="1">
                  <c:v>1325671884.6301889</c:v>
                </c:pt>
                <c:pt idx="2">
                  <c:v>1439027280.2093663</c:v>
                </c:pt>
                <c:pt idx="3">
                  <c:v>1522823450.6210306</c:v>
                </c:pt>
                <c:pt idx="4">
                  <c:v>1653882969.4179993</c:v>
                </c:pt>
                <c:pt idx="5">
                  <c:v>1794401711.7489023</c:v>
                </c:pt>
                <c:pt idx="6">
                  <c:v>1943912595.4379435</c:v>
                </c:pt>
                <c:pt idx="7">
                  <c:v>2062650789.5223212</c:v>
                </c:pt>
                <c:pt idx="8">
                  <c:v>2204102327.3409929</c:v>
                </c:pt>
                <c:pt idx="9">
                  <c:v>2380603490.8097</c:v>
                </c:pt>
                <c:pt idx="10">
                  <c:v>2458538931.648953</c:v>
                </c:pt>
                <c:pt idx="11">
                  <c:v>2568964555.2153172</c:v>
                </c:pt>
                <c:pt idx="12">
                  <c:v>2745473026.0643172</c:v>
                </c:pt>
                <c:pt idx="13">
                  <c:v>2886216795.3835783</c:v>
                </c:pt>
                <c:pt idx="14">
                  <c:v>2857195879.0253677</c:v>
                </c:pt>
                <c:pt idx="15">
                  <c:v>2781724211.6459622</c:v>
                </c:pt>
                <c:pt idx="16">
                  <c:v>2914709986.4930005</c:v>
                </c:pt>
                <c:pt idx="17">
                  <c:v>3082236844.956265</c:v>
                </c:pt>
                <c:pt idx="18">
                  <c:v>3314143443.9155431</c:v>
                </c:pt>
                <c:pt idx="19">
                  <c:v>3385908557.7993073</c:v>
                </c:pt>
                <c:pt idx="20">
                  <c:v>3378604804.0333819</c:v>
                </c:pt>
                <c:pt idx="21">
                  <c:v>3415542932.4073415</c:v>
                </c:pt>
                <c:pt idx="22">
                  <c:v>3477234074.5691242</c:v>
                </c:pt>
                <c:pt idx="23">
                  <c:v>3686206508.7951155</c:v>
                </c:pt>
                <c:pt idx="24">
                  <c:v>4067491316.6131158</c:v>
                </c:pt>
                <c:pt idx="25">
                  <c:v>4340444762.8002272</c:v>
                </c:pt>
                <c:pt idx="26">
                  <c:v>4681238408.5059385</c:v>
                </c:pt>
                <c:pt idx="27">
                  <c:v>4954911634.0434284</c:v>
                </c:pt>
                <c:pt idx="28">
                  <c:v>5241616431.1055555</c:v>
                </c:pt>
                <c:pt idx="29">
                  <c:v>5480844128.4058676</c:v>
                </c:pt>
                <c:pt idx="30">
                  <c:v>5536973509.510107</c:v>
                </c:pt>
                <c:pt idx="31">
                  <c:v>5467808930.6000357</c:v>
                </c:pt>
                <c:pt idx="32">
                  <c:v>5589729338.8162184</c:v>
                </c:pt>
                <c:pt idx="33">
                  <c:v>5644056726.9513597</c:v>
                </c:pt>
                <c:pt idx="34">
                  <c:v>5846504229.2034883</c:v>
                </c:pt>
                <c:pt idx="35">
                  <c:v>5978556456.083642</c:v>
                </c:pt>
                <c:pt idx="36">
                  <c:v>6179518385.0884018</c:v>
                </c:pt>
                <c:pt idx="37">
                  <c:v>6450634968.3736753</c:v>
                </c:pt>
                <c:pt idx="38">
                  <c:v>6810398219.9244328</c:v>
                </c:pt>
                <c:pt idx="39">
                  <c:v>7119374153.0218792</c:v>
                </c:pt>
                <c:pt idx="40">
                  <c:v>7548982399.8051729</c:v>
                </c:pt>
                <c:pt idx="41">
                  <c:v>7558044768.7437916</c:v>
                </c:pt>
                <c:pt idx="42">
                  <c:v>7604430320.3171358</c:v>
                </c:pt>
                <c:pt idx="43">
                  <c:v>7554461669.1900883</c:v>
                </c:pt>
                <c:pt idx="44">
                  <c:v>7867007805.4950466</c:v>
                </c:pt>
                <c:pt idx="45">
                  <c:v>8308139895.6154099</c:v>
                </c:pt>
                <c:pt idx="46">
                  <c:v>8575377132.7109756</c:v>
                </c:pt>
                <c:pt idx="47">
                  <c:v>8839923115.5129185</c:v>
                </c:pt>
                <c:pt idx="48">
                  <c:v>8755257108.8592205</c:v>
                </c:pt>
                <c:pt idx="49">
                  <c:v>8987359930.5257359</c:v>
                </c:pt>
                <c:pt idx="50">
                  <c:v>9121839065.6033344</c:v>
                </c:pt>
                <c:pt idx="51">
                  <c:v>9450886226.4050007</c:v>
                </c:pt>
                <c:pt idx="52">
                  <c:v>9737156973.0662498</c:v>
                </c:pt>
                <c:pt idx="53">
                  <c:v>10439382105.369568</c:v>
                </c:pt>
              </c:numCache>
            </c:numRef>
          </c:val>
          <c:smooth val="0"/>
        </c:ser>
        <c:dLbls>
          <c:showLegendKey val="0"/>
          <c:showVal val="0"/>
          <c:showCatName val="0"/>
          <c:showSerName val="0"/>
          <c:showPercent val="0"/>
          <c:showBubbleSize val="0"/>
        </c:dLbls>
        <c:marker val="1"/>
        <c:smooth val="0"/>
        <c:axId val="48403584"/>
        <c:axId val="48405504"/>
      </c:lineChart>
      <c:catAx>
        <c:axId val="4840358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8405504"/>
        <c:crosses val="autoZero"/>
        <c:auto val="1"/>
        <c:lblAlgn val="ctr"/>
        <c:lblOffset val="100"/>
        <c:tickLblSkip val="3"/>
        <c:noMultiLvlLbl val="0"/>
      </c:catAx>
      <c:valAx>
        <c:axId val="48405504"/>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403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CostMotorVehicleCrashes!$C$2:$BD$2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CostMotorVehicleCrashes!$C$3:$BD$3</c:f>
              <c:numCache>
                <c:formatCode>0.000000</c:formatCode>
                <c:ptCount val="54"/>
                <c:pt idx="0">
                  <c:v>3.0129291199999999</c:v>
                </c:pt>
                <c:pt idx="1">
                  <c:v>3.0697121599999955</c:v>
                </c:pt>
                <c:pt idx="2">
                  <c:v>3.1264951999999959</c:v>
                </c:pt>
                <c:pt idx="3">
                  <c:v>3.1832782399999959</c:v>
                </c:pt>
                <c:pt idx="4">
                  <c:v>3.2400612799999964</c:v>
                </c:pt>
                <c:pt idx="5">
                  <c:v>3.2968443199999964</c:v>
                </c:pt>
                <c:pt idx="6">
                  <c:v>3.3536273599999968</c:v>
                </c:pt>
                <c:pt idx="7">
                  <c:v>3.4104103999999968</c:v>
                </c:pt>
                <c:pt idx="8">
                  <c:v>3.4671934399999973</c:v>
                </c:pt>
                <c:pt idx="9">
                  <c:v>3.5239764799999977</c:v>
                </c:pt>
                <c:pt idx="10">
                  <c:v>3.5807595199999978</c:v>
                </c:pt>
                <c:pt idx="11">
                  <c:v>3.6375425599999982</c:v>
                </c:pt>
                <c:pt idx="12">
                  <c:v>3.6943255999999982</c:v>
                </c:pt>
                <c:pt idx="13">
                  <c:v>3.7511086399999987</c:v>
                </c:pt>
                <c:pt idx="14">
                  <c:v>3.8078916799999987</c:v>
                </c:pt>
                <c:pt idx="15">
                  <c:v>3.8646747199999991</c:v>
                </c:pt>
                <c:pt idx="16">
                  <c:v>3.9214577599999991</c:v>
                </c:pt>
                <c:pt idx="17">
                  <c:v>3.9782407999999996</c:v>
                </c:pt>
                <c:pt idx="18">
                  <c:v>4.2227144000000001</c:v>
                </c:pt>
                <c:pt idx="19">
                  <c:v>4.0648783999999996</c:v>
                </c:pt>
                <c:pt idx="20">
                  <c:v>4.0623800000000001</c:v>
                </c:pt>
                <c:pt idx="21">
                  <c:v>4.1369823999999999</c:v>
                </c:pt>
                <c:pt idx="22">
                  <c:v>3.9819312</c:v>
                </c:pt>
                <c:pt idx="23">
                  <c:v>4.1539535999999995</c:v>
                </c:pt>
                <c:pt idx="24">
                  <c:v>4.3682240000000006</c:v>
                </c:pt>
                <c:pt idx="25">
                  <c:v>4.5557336000000008</c:v>
                </c:pt>
                <c:pt idx="26">
                  <c:v>4.5569416</c:v>
                </c:pt>
                <c:pt idx="27">
                  <c:v>4.5460712000000001</c:v>
                </c:pt>
                <c:pt idx="28">
                  <c:v>4.4761495999999994</c:v>
                </c:pt>
                <c:pt idx="29">
                  <c:v>4.3672640000000005</c:v>
                </c:pt>
                <c:pt idx="30">
                  <c:v>4.2205623999999995</c:v>
                </c:pt>
                <c:pt idx="31">
                  <c:v>3.9038168</c:v>
                </c:pt>
                <c:pt idx="32">
                  <c:v>4.0776808000000004</c:v>
                </c:pt>
                <c:pt idx="33">
                  <c:v>3.2988320000000004</c:v>
                </c:pt>
                <c:pt idx="34">
                  <c:v>3.7505687999999995</c:v>
                </c:pt>
                <c:pt idx="35">
                  <c:v>3.7189007999999997</c:v>
                </c:pt>
                <c:pt idx="36">
                  <c:v>3.6540895999999998</c:v>
                </c:pt>
                <c:pt idx="37">
                  <c:v>3.5184567999999996</c:v>
                </c:pt>
                <c:pt idx="38">
                  <c:v>3.3376343999999998</c:v>
                </c:pt>
                <c:pt idx="39">
                  <c:v>3.3325527999999993</c:v>
                </c:pt>
                <c:pt idx="40">
                  <c:v>3.3371239999999998</c:v>
                </c:pt>
                <c:pt idx="41">
                  <c:v>3.4366455999999999</c:v>
                </c:pt>
                <c:pt idx="42">
                  <c:v>3.4469511999999995</c:v>
                </c:pt>
                <c:pt idx="43">
                  <c:v>3.4291824000000006</c:v>
                </c:pt>
                <c:pt idx="44">
                  <c:v>3.3597640000000002</c:v>
                </c:pt>
                <c:pt idx="45">
                  <c:v>3.2477527999999998</c:v>
                </c:pt>
                <c:pt idx="46">
                  <c:v>3.2248920000000001</c:v>
                </c:pt>
                <c:pt idx="47">
                  <c:v>3.1209863999999996</c:v>
                </c:pt>
                <c:pt idx="48">
                  <c:v>2.9349495999999999</c:v>
                </c:pt>
                <c:pt idx="49">
                  <c:v>2.8768528</c:v>
                </c:pt>
                <c:pt idx="50">
                  <c:v>2.6771343999999999</c:v>
                </c:pt>
                <c:pt idx="51">
                  <c:v>2.6663832000000003</c:v>
                </c:pt>
                <c:pt idx="52">
                  <c:v>2.6823847999999999</c:v>
                </c:pt>
                <c:pt idx="53">
                  <c:v>2.6185407999999999</c:v>
                </c:pt>
              </c:numCache>
            </c:numRef>
          </c:val>
          <c:smooth val="0"/>
        </c:ser>
        <c:dLbls>
          <c:showLegendKey val="0"/>
          <c:showVal val="0"/>
          <c:showCatName val="0"/>
          <c:showSerName val="0"/>
          <c:showPercent val="0"/>
          <c:showBubbleSize val="0"/>
        </c:dLbls>
        <c:marker val="1"/>
        <c:smooth val="0"/>
        <c:axId val="144771328"/>
        <c:axId val="144773504"/>
      </c:lineChart>
      <c:catAx>
        <c:axId val="1447713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44773504"/>
        <c:crosses val="autoZero"/>
        <c:auto val="1"/>
        <c:lblAlgn val="ctr"/>
        <c:lblOffset val="100"/>
        <c:tickLblSkip val="3"/>
        <c:noMultiLvlLbl val="0"/>
      </c:catAx>
      <c:valAx>
        <c:axId val="144773504"/>
        <c:scaling>
          <c:orientation val="minMax"/>
        </c:scaling>
        <c:delete val="0"/>
        <c:axPos val="l"/>
        <c:majorGridlines/>
        <c:numFmt formatCode="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4771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CostMotorVehicleCrashes!$C$2:$BB$2</c:f>
              <c:numCache>
                <c:formatCode>General</c:formatCode>
                <c:ptCount val="52"/>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numCache>
            </c:numRef>
          </c:cat>
          <c:val>
            <c:numRef>
              <c:f>CostMotorVehicleCrashes!$C$4:$BD$4</c:f>
              <c:numCache>
                <c:formatCode>#,##0</c:formatCode>
                <c:ptCount val="54"/>
                <c:pt idx="17">
                  <c:v>673</c:v>
                </c:pt>
                <c:pt idx="18">
                  <c:v>729</c:v>
                </c:pt>
                <c:pt idx="19">
                  <c:v>700</c:v>
                </c:pt>
                <c:pt idx="20">
                  <c:v>782</c:v>
                </c:pt>
                <c:pt idx="21">
                  <c:v>793</c:v>
                </c:pt>
                <c:pt idx="22">
                  <c:v>660</c:v>
                </c:pt>
                <c:pt idx="23">
                  <c:v>663</c:v>
                </c:pt>
                <c:pt idx="24">
                  <c:v>650</c:v>
                </c:pt>
                <c:pt idx="25">
                  <c:v>740</c:v>
                </c:pt>
                <c:pt idx="26">
                  <c:v>790</c:v>
                </c:pt>
                <c:pt idx="27">
                  <c:v>830</c:v>
                </c:pt>
                <c:pt idx="28">
                  <c:v>794</c:v>
                </c:pt>
                <c:pt idx="29">
                  <c:v>749</c:v>
                </c:pt>
                <c:pt idx="30">
                  <c:v>727</c:v>
                </c:pt>
                <c:pt idx="31">
                  <c:v>710</c:v>
                </c:pt>
                <c:pt idx="32">
                  <c:v>664</c:v>
                </c:pt>
                <c:pt idx="33">
                  <c:v>671</c:v>
                </c:pt>
                <c:pt idx="34">
                  <c:v>657</c:v>
                </c:pt>
                <c:pt idx="35">
                  <c:v>684</c:v>
                </c:pt>
                <c:pt idx="36">
                  <c:v>614</c:v>
                </c:pt>
                <c:pt idx="37">
                  <c:v>610</c:v>
                </c:pt>
                <c:pt idx="38">
                  <c:v>606</c:v>
                </c:pt>
                <c:pt idx="39">
                  <c:v>598</c:v>
                </c:pt>
                <c:pt idx="40">
                  <c:v>617</c:v>
                </c:pt>
                <c:pt idx="41">
                  <c:v>661</c:v>
                </c:pt>
                <c:pt idx="42">
                  <c:v>661</c:v>
                </c:pt>
                <c:pt idx="43">
                  <c:v>651</c:v>
                </c:pt>
                <c:pt idx="44">
                  <c:v>643</c:v>
                </c:pt>
                <c:pt idx="45">
                  <c:v>614</c:v>
                </c:pt>
                <c:pt idx="46">
                  <c:v>651</c:v>
                </c:pt>
                <c:pt idx="47">
                  <c:v>615</c:v>
                </c:pt>
                <c:pt idx="48">
                  <c:v>592</c:v>
                </c:pt>
                <c:pt idx="49">
                  <c:v>550</c:v>
                </c:pt>
                <c:pt idx="50">
                  <c:v>496</c:v>
                </c:pt>
                <c:pt idx="51">
                  <c:v>486</c:v>
                </c:pt>
                <c:pt idx="52">
                  <c:v>511</c:v>
                </c:pt>
                <c:pt idx="53">
                  <c:v>466</c:v>
                </c:pt>
              </c:numCache>
            </c:numRef>
          </c:val>
          <c:smooth val="0"/>
        </c:ser>
        <c:dLbls>
          <c:showLegendKey val="0"/>
          <c:showVal val="0"/>
          <c:showCatName val="0"/>
          <c:showSerName val="0"/>
          <c:showPercent val="0"/>
          <c:showBubbleSize val="0"/>
        </c:dLbls>
        <c:marker val="1"/>
        <c:smooth val="0"/>
        <c:axId val="144780288"/>
        <c:axId val="145142912"/>
      </c:lineChart>
      <c:catAx>
        <c:axId val="14478028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45142912"/>
        <c:crosses val="autoZero"/>
        <c:auto val="1"/>
        <c:lblAlgn val="ctr"/>
        <c:lblOffset val="100"/>
        <c:tickLblSkip val="3"/>
        <c:noMultiLvlLbl val="0"/>
      </c:catAx>
      <c:valAx>
        <c:axId val="145142912"/>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4780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CostMotorVehicleCrashes!$C$2:$BD$2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CostMotorVehicleCrashes!$C$5:$BD$5</c:f>
              <c:numCache>
                <c:formatCode>#,##0</c:formatCode>
                <c:ptCount val="54"/>
                <c:pt idx="17">
                  <c:v>70501</c:v>
                </c:pt>
                <c:pt idx="18">
                  <c:v>74493</c:v>
                </c:pt>
                <c:pt idx="19">
                  <c:v>73626</c:v>
                </c:pt>
                <c:pt idx="20">
                  <c:v>70459</c:v>
                </c:pt>
                <c:pt idx="21">
                  <c:v>72724</c:v>
                </c:pt>
                <c:pt idx="22">
                  <c:v>71990</c:v>
                </c:pt>
                <c:pt idx="23">
                  <c:v>76334</c:v>
                </c:pt>
                <c:pt idx="24">
                  <c:v>81788</c:v>
                </c:pt>
                <c:pt idx="25">
                  <c:v>84483</c:v>
                </c:pt>
                <c:pt idx="26">
                  <c:v>84649</c:v>
                </c:pt>
                <c:pt idx="27">
                  <c:v>85265</c:v>
                </c:pt>
                <c:pt idx="28">
                  <c:v>84923</c:v>
                </c:pt>
                <c:pt idx="29">
                  <c:v>83432</c:v>
                </c:pt>
                <c:pt idx="30">
                  <c:v>81123</c:v>
                </c:pt>
                <c:pt idx="31">
                  <c:v>74375</c:v>
                </c:pt>
                <c:pt idx="32">
                  <c:v>80593</c:v>
                </c:pt>
                <c:pt idx="33">
                  <c:v>63232</c:v>
                </c:pt>
                <c:pt idx="34">
                  <c:v>71307</c:v>
                </c:pt>
                <c:pt idx="35">
                  <c:v>69442</c:v>
                </c:pt>
                <c:pt idx="36">
                  <c:v>69052</c:v>
                </c:pt>
                <c:pt idx="37">
                  <c:v>65587</c:v>
                </c:pt>
                <c:pt idx="38">
                  <c:v>60751</c:v>
                </c:pt>
                <c:pt idx="39">
                  <c:v>59979</c:v>
                </c:pt>
                <c:pt idx="40">
                  <c:v>58885</c:v>
                </c:pt>
                <c:pt idx="41">
                  <c:v>60051</c:v>
                </c:pt>
                <c:pt idx="42">
                  <c:v>59517</c:v>
                </c:pt>
                <c:pt idx="43">
                  <c:v>58118</c:v>
                </c:pt>
                <c:pt idx="44">
                  <c:v>57409</c:v>
                </c:pt>
                <c:pt idx="45">
                  <c:v>55287</c:v>
                </c:pt>
                <c:pt idx="46">
                  <c:v>53615</c:v>
                </c:pt>
                <c:pt idx="47">
                  <c:v>51729</c:v>
                </c:pt>
                <c:pt idx="48">
                  <c:v>48143</c:v>
                </c:pt>
                <c:pt idx="49">
                  <c:v>47330</c:v>
                </c:pt>
                <c:pt idx="50">
                  <c:v>44426</c:v>
                </c:pt>
                <c:pt idx="51">
                  <c:v>44487</c:v>
                </c:pt>
                <c:pt idx="52">
                  <c:v>44033</c:v>
                </c:pt>
                <c:pt idx="53">
                  <c:v>42716</c:v>
                </c:pt>
              </c:numCache>
            </c:numRef>
          </c:val>
          <c:smooth val="0"/>
        </c:ser>
        <c:dLbls>
          <c:showLegendKey val="0"/>
          <c:showVal val="0"/>
          <c:showCatName val="0"/>
          <c:showSerName val="0"/>
          <c:showPercent val="0"/>
          <c:showBubbleSize val="0"/>
        </c:dLbls>
        <c:marker val="1"/>
        <c:smooth val="0"/>
        <c:axId val="145158144"/>
        <c:axId val="145160064"/>
      </c:lineChart>
      <c:catAx>
        <c:axId val="14515814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45160064"/>
        <c:crosses val="autoZero"/>
        <c:auto val="1"/>
        <c:lblAlgn val="ctr"/>
        <c:lblOffset val="100"/>
        <c:tickLblSkip val="3"/>
        <c:noMultiLvlLbl val="0"/>
      </c:catAx>
      <c:valAx>
        <c:axId val="145160064"/>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5158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26951986905254E-2"/>
          <c:y val="3.7424230279435595E-2"/>
          <c:w val="0.94502563607028767"/>
          <c:h val="0.81582130358705163"/>
        </c:manualLayout>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CostMotorVehicleCrashes!$C$2:$BD$2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CostMotorVehicleCrashes!$C$6:$BD$6</c:f>
              <c:numCache>
                <c:formatCode>#,##0</c:formatCode>
                <c:ptCount val="54"/>
                <c:pt idx="17">
                  <c:v>117352</c:v>
                </c:pt>
                <c:pt idx="18">
                  <c:v>124136</c:v>
                </c:pt>
                <c:pt idx="19">
                  <c:v>108991</c:v>
                </c:pt>
                <c:pt idx="20">
                  <c:v>113295</c:v>
                </c:pt>
                <c:pt idx="21">
                  <c:v>110451</c:v>
                </c:pt>
                <c:pt idx="22">
                  <c:v>111633</c:v>
                </c:pt>
                <c:pt idx="23">
                  <c:v>113596.5</c:v>
                </c:pt>
                <c:pt idx="24">
                  <c:v>118477.5</c:v>
                </c:pt>
                <c:pt idx="25">
                  <c:v>118216.5</c:v>
                </c:pt>
                <c:pt idx="26">
                  <c:v>109471.5</c:v>
                </c:pt>
                <c:pt idx="27">
                  <c:v>97908</c:v>
                </c:pt>
                <c:pt idx="28">
                  <c:v>94666.5</c:v>
                </c:pt>
                <c:pt idx="29">
                  <c:v>93240</c:v>
                </c:pt>
                <c:pt idx="30">
                  <c:v>86826</c:v>
                </c:pt>
                <c:pt idx="31">
                  <c:v>78012</c:v>
                </c:pt>
                <c:pt idx="32">
                  <c:v>77562</c:v>
                </c:pt>
                <c:pt idx="33">
                  <c:v>52402.5</c:v>
                </c:pt>
                <c:pt idx="34">
                  <c:v>79804.5</c:v>
                </c:pt>
                <c:pt idx="35">
                  <c:v>81027</c:v>
                </c:pt>
                <c:pt idx="36">
                  <c:v>84294</c:v>
                </c:pt>
                <c:pt idx="37">
                  <c:v>83232</c:v>
                </c:pt>
                <c:pt idx="38">
                  <c:v>82821</c:v>
                </c:pt>
                <c:pt idx="39">
                  <c:v>87649.5</c:v>
                </c:pt>
                <c:pt idx="40">
                  <c:v>91477.5</c:v>
                </c:pt>
                <c:pt idx="41">
                  <c:v>93429</c:v>
                </c:pt>
                <c:pt idx="42">
                  <c:v>98043</c:v>
                </c:pt>
                <c:pt idx="43">
                  <c:v>104736</c:v>
                </c:pt>
                <c:pt idx="44">
                  <c:v>99157.5</c:v>
                </c:pt>
                <c:pt idx="45">
                  <c:v>98232</c:v>
                </c:pt>
                <c:pt idx="46">
                  <c:v>98145</c:v>
                </c:pt>
                <c:pt idx="47">
                  <c:v>98278.5</c:v>
                </c:pt>
                <c:pt idx="48">
                  <c:v>93061.5</c:v>
                </c:pt>
                <c:pt idx="49">
                  <c:v>95277</c:v>
                </c:pt>
                <c:pt idx="50">
                  <c:v>89046</c:v>
                </c:pt>
                <c:pt idx="51">
                  <c:v>88623</c:v>
                </c:pt>
                <c:pt idx="52">
                  <c:v>89677</c:v>
                </c:pt>
                <c:pt idx="53">
                  <c:v>94309.5</c:v>
                </c:pt>
              </c:numCache>
            </c:numRef>
          </c:val>
          <c:smooth val="0"/>
        </c:ser>
        <c:dLbls>
          <c:showLegendKey val="0"/>
          <c:showVal val="0"/>
          <c:showCatName val="0"/>
          <c:showSerName val="0"/>
          <c:showPercent val="0"/>
          <c:showBubbleSize val="0"/>
        </c:dLbls>
        <c:marker val="1"/>
        <c:smooth val="0"/>
        <c:axId val="145208064"/>
        <c:axId val="145209984"/>
      </c:lineChart>
      <c:catAx>
        <c:axId val="1452080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45209984"/>
        <c:crosses val="autoZero"/>
        <c:auto val="1"/>
        <c:lblAlgn val="ctr"/>
        <c:lblOffset val="100"/>
        <c:tickLblSkip val="3"/>
        <c:noMultiLvlLbl val="0"/>
      </c:catAx>
      <c:valAx>
        <c:axId val="145209984"/>
        <c:scaling>
          <c:orientation val="minMax"/>
        </c:scaling>
        <c:delete val="0"/>
        <c:axPos val="l"/>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5208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Number of Divorces in</a:t>
            </a:r>
            <a:r>
              <a:rPr lang="en-US" baseline="0"/>
              <a:t> Maryland</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CostofFamilyChange!$C$2:$BD$2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CostofFamilyChange!$C$4:$BD$4</c:f>
              <c:numCache>
                <c:formatCode>General</c:formatCode>
                <c:ptCount val="54"/>
                <c:pt idx="0">
                  <c:v>5140</c:v>
                </c:pt>
                <c:pt idx="1">
                  <c:v>5296</c:v>
                </c:pt>
                <c:pt idx="2">
                  <c:v>6022</c:v>
                </c:pt>
                <c:pt idx="3">
                  <c:v>6402</c:v>
                </c:pt>
                <c:pt idx="4">
                  <c:v>6697</c:v>
                </c:pt>
                <c:pt idx="5">
                  <c:v>6978</c:v>
                </c:pt>
                <c:pt idx="6">
                  <c:v>7072</c:v>
                </c:pt>
                <c:pt idx="7">
                  <c:v>7889.7</c:v>
                </c:pt>
                <c:pt idx="8">
                  <c:v>8151</c:v>
                </c:pt>
                <c:pt idx="9">
                  <c:v>8827</c:v>
                </c:pt>
                <c:pt idx="10">
                  <c:v>9299</c:v>
                </c:pt>
                <c:pt idx="11">
                  <c:v>10081</c:v>
                </c:pt>
                <c:pt idx="12">
                  <c:v>11700</c:v>
                </c:pt>
                <c:pt idx="13">
                  <c:v>14100</c:v>
                </c:pt>
                <c:pt idx="14">
                  <c:v>15100</c:v>
                </c:pt>
                <c:pt idx="15">
                  <c:v>15400</c:v>
                </c:pt>
                <c:pt idx="16">
                  <c:v>16100</c:v>
                </c:pt>
                <c:pt idx="17">
                  <c:v>16600</c:v>
                </c:pt>
                <c:pt idx="18">
                  <c:v>16500</c:v>
                </c:pt>
                <c:pt idx="19">
                  <c:v>16900</c:v>
                </c:pt>
                <c:pt idx="20">
                  <c:v>17500</c:v>
                </c:pt>
                <c:pt idx="21">
                  <c:v>17200</c:v>
                </c:pt>
                <c:pt idx="22">
                  <c:v>15000</c:v>
                </c:pt>
                <c:pt idx="23">
                  <c:v>16300</c:v>
                </c:pt>
                <c:pt idx="24">
                  <c:v>15800</c:v>
                </c:pt>
                <c:pt idx="25">
                  <c:v>16200</c:v>
                </c:pt>
                <c:pt idx="26">
                  <c:v>15500</c:v>
                </c:pt>
                <c:pt idx="27">
                  <c:v>15900</c:v>
                </c:pt>
                <c:pt idx="28">
                  <c:v>16400</c:v>
                </c:pt>
                <c:pt idx="29">
                  <c:v>15600</c:v>
                </c:pt>
                <c:pt idx="30">
                  <c:v>16100</c:v>
                </c:pt>
                <c:pt idx="31">
                  <c:v>16600</c:v>
                </c:pt>
                <c:pt idx="32">
                  <c:v>17600</c:v>
                </c:pt>
                <c:pt idx="33">
                  <c:v>17000</c:v>
                </c:pt>
                <c:pt idx="34">
                  <c:v>17400</c:v>
                </c:pt>
                <c:pt idx="35">
                  <c:v>15000</c:v>
                </c:pt>
                <c:pt idx="36">
                  <c:v>16300</c:v>
                </c:pt>
                <c:pt idx="37">
                  <c:v>15100</c:v>
                </c:pt>
                <c:pt idx="38">
                  <c:v>16400</c:v>
                </c:pt>
                <c:pt idx="39">
                  <c:v>16502.400000000001</c:v>
                </c:pt>
                <c:pt idx="40">
                  <c:v>17000</c:v>
                </c:pt>
                <c:pt idx="41">
                  <c:v>15900</c:v>
                </c:pt>
                <c:pt idx="42">
                  <c:v>18492.599999999999</c:v>
                </c:pt>
                <c:pt idx="43">
                  <c:v>17584</c:v>
                </c:pt>
                <c:pt idx="44">
                  <c:v>17100</c:v>
                </c:pt>
                <c:pt idx="45">
                  <c:v>17100</c:v>
                </c:pt>
                <c:pt idx="46">
                  <c:v>17065</c:v>
                </c:pt>
                <c:pt idx="47">
                  <c:v>16662</c:v>
                </c:pt>
                <c:pt idx="48">
                  <c:v>16210</c:v>
                </c:pt>
                <c:pt idx="49">
                  <c:v>15778</c:v>
                </c:pt>
                <c:pt idx="50">
                  <c:v>16324</c:v>
                </c:pt>
                <c:pt idx="51">
                  <c:v>16824</c:v>
                </c:pt>
                <c:pt idx="52">
                  <c:v>16208</c:v>
                </c:pt>
                <c:pt idx="53">
                  <c:v>15416</c:v>
                </c:pt>
              </c:numCache>
            </c:numRef>
          </c:val>
          <c:smooth val="0"/>
        </c:ser>
        <c:dLbls>
          <c:showLegendKey val="0"/>
          <c:showVal val="0"/>
          <c:showCatName val="0"/>
          <c:showSerName val="0"/>
          <c:showPercent val="0"/>
          <c:showBubbleSize val="0"/>
        </c:dLbls>
        <c:marker val="1"/>
        <c:smooth val="0"/>
        <c:axId val="44507136"/>
        <c:axId val="44509056"/>
      </c:lineChart>
      <c:catAx>
        <c:axId val="445071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509056"/>
        <c:crosses val="autoZero"/>
        <c:auto val="1"/>
        <c:lblAlgn val="ctr"/>
        <c:lblOffset val="100"/>
        <c:tickLblSkip val="3"/>
        <c:noMultiLvlLbl val="0"/>
      </c:catAx>
      <c:valAx>
        <c:axId val="44509056"/>
        <c:scaling>
          <c:orientation val="minMax"/>
        </c:scaling>
        <c:delete val="0"/>
        <c:axPos val="l"/>
        <c:majorGridlines/>
        <c:title>
          <c:tx>
            <c:rich>
              <a:bodyPr/>
              <a:lstStyle/>
              <a:p>
                <a:pPr>
                  <a:defRPr/>
                </a:pPr>
                <a:r>
                  <a:rPr lang="en-US"/>
                  <a:t>Divorces per year</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507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Average Number</a:t>
            </a:r>
            <a:r>
              <a:rPr lang="en-US" baseline="0"/>
              <a:t> of Children per Divorce, US</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CostofFamilyChange!$C$2:$BD$2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CostofFamilyChange!$C$5:$BD$5</c:f>
              <c:numCache>
                <c:formatCode>General</c:formatCode>
                <c:ptCount val="54"/>
                <c:pt idx="0">
                  <c:v>1.18</c:v>
                </c:pt>
                <c:pt idx="1">
                  <c:v>1.25</c:v>
                </c:pt>
                <c:pt idx="2">
                  <c:v>1.29</c:v>
                </c:pt>
                <c:pt idx="3">
                  <c:v>1.31</c:v>
                </c:pt>
                <c:pt idx="4">
                  <c:v>1.36</c:v>
                </c:pt>
                <c:pt idx="5">
                  <c:v>1.32</c:v>
                </c:pt>
                <c:pt idx="6">
                  <c:v>1.34</c:v>
                </c:pt>
                <c:pt idx="7">
                  <c:v>1.34</c:v>
                </c:pt>
                <c:pt idx="8">
                  <c:v>1.34</c:v>
                </c:pt>
                <c:pt idx="9">
                  <c:v>1.31</c:v>
                </c:pt>
                <c:pt idx="10">
                  <c:v>1.22</c:v>
                </c:pt>
                <c:pt idx="11">
                  <c:v>1.22</c:v>
                </c:pt>
                <c:pt idx="12">
                  <c:v>1.2</c:v>
                </c:pt>
                <c:pt idx="13">
                  <c:v>1.17</c:v>
                </c:pt>
                <c:pt idx="14">
                  <c:v>1.1200000000000001</c:v>
                </c:pt>
                <c:pt idx="15">
                  <c:v>1.08</c:v>
                </c:pt>
                <c:pt idx="16">
                  <c:v>1.03</c:v>
                </c:pt>
                <c:pt idx="17">
                  <c:v>1</c:v>
                </c:pt>
                <c:pt idx="18">
                  <c:v>1.01</c:v>
                </c:pt>
                <c:pt idx="19">
                  <c:v>1</c:v>
                </c:pt>
                <c:pt idx="20">
                  <c:v>0.98</c:v>
                </c:pt>
                <c:pt idx="21">
                  <c:v>0.97</c:v>
                </c:pt>
                <c:pt idx="22">
                  <c:v>0.94</c:v>
                </c:pt>
                <c:pt idx="23">
                  <c:v>0.94</c:v>
                </c:pt>
                <c:pt idx="24">
                  <c:v>0.92</c:v>
                </c:pt>
                <c:pt idx="25">
                  <c:v>0.89</c:v>
                </c:pt>
                <c:pt idx="26">
                  <c:v>0.89</c:v>
                </c:pt>
                <c:pt idx="27">
                  <c:v>0.89</c:v>
                </c:pt>
                <c:pt idx="28">
                  <c:v>0.89</c:v>
                </c:pt>
                <c:pt idx="29">
                  <c:v>0.89</c:v>
                </c:pt>
                <c:pt idx="30">
                  <c:v>0.89</c:v>
                </c:pt>
                <c:pt idx="31">
                  <c:v>0.89</c:v>
                </c:pt>
                <c:pt idx="32">
                  <c:v>0.89</c:v>
                </c:pt>
                <c:pt idx="33">
                  <c:v>0.89</c:v>
                </c:pt>
                <c:pt idx="34">
                  <c:v>0.89</c:v>
                </c:pt>
                <c:pt idx="35">
                  <c:v>0.89</c:v>
                </c:pt>
                <c:pt idx="36">
                  <c:v>0.89</c:v>
                </c:pt>
                <c:pt idx="37">
                  <c:v>0.89</c:v>
                </c:pt>
                <c:pt idx="38">
                  <c:v>0.89</c:v>
                </c:pt>
                <c:pt idx="39">
                  <c:v>0.89</c:v>
                </c:pt>
                <c:pt idx="40">
                  <c:v>0.85</c:v>
                </c:pt>
                <c:pt idx="41">
                  <c:v>0.86</c:v>
                </c:pt>
                <c:pt idx="42">
                  <c:v>0.83</c:v>
                </c:pt>
                <c:pt idx="43">
                  <c:v>0.8</c:v>
                </c:pt>
                <c:pt idx="44">
                  <c:v>0.83</c:v>
                </c:pt>
                <c:pt idx="45">
                  <c:v>0.83</c:v>
                </c:pt>
                <c:pt idx="46">
                  <c:v>0.78</c:v>
                </c:pt>
                <c:pt idx="47">
                  <c:v>0.64</c:v>
                </c:pt>
                <c:pt idx="48">
                  <c:v>0.63</c:v>
                </c:pt>
                <c:pt idx="49">
                  <c:v>0.64</c:v>
                </c:pt>
                <c:pt idx="50">
                  <c:v>0.61</c:v>
                </c:pt>
                <c:pt idx="51">
                  <c:v>0.61</c:v>
                </c:pt>
                <c:pt idx="52">
                  <c:v>0.61</c:v>
                </c:pt>
                <c:pt idx="53" formatCode="0.00">
                  <c:v>0.76485469641930459</c:v>
                </c:pt>
              </c:numCache>
            </c:numRef>
          </c:val>
          <c:smooth val="0"/>
        </c:ser>
        <c:dLbls>
          <c:showLegendKey val="0"/>
          <c:showVal val="0"/>
          <c:showCatName val="0"/>
          <c:showSerName val="0"/>
          <c:showPercent val="0"/>
          <c:showBubbleSize val="0"/>
        </c:dLbls>
        <c:marker val="1"/>
        <c:smooth val="0"/>
        <c:axId val="44533248"/>
        <c:axId val="44535168"/>
      </c:lineChart>
      <c:catAx>
        <c:axId val="445332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535168"/>
        <c:crosses val="autoZero"/>
        <c:auto val="1"/>
        <c:lblAlgn val="ctr"/>
        <c:lblOffset val="100"/>
        <c:tickLblSkip val="3"/>
        <c:noMultiLvlLbl val="0"/>
      </c:catAx>
      <c:valAx>
        <c:axId val="44535168"/>
        <c:scaling>
          <c:orientation val="minMax"/>
        </c:scaling>
        <c:delete val="0"/>
        <c:axPos val="l"/>
        <c:majorGridlines/>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533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Estimated Number of Children</a:t>
            </a:r>
            <a:r>
              <a:rPr lang="en-US" baseline="0"/>
              <a:t> Affected by Divorce</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CostofFamilyChange!$C$2:$BD$2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CostofFamilyChange!$C$6:$BD$6</c:f>
              <c:numCache>
                <c:formatCode>General</c:formatCode>
                <c:ptCount val="54"/>
                <c:pt idx="0">
                  <c:v>6065.2</c:v>
                </c:pt>
                <c:pt idx="1">
                  <c:v>6620</c:v>
                </c:pt>
                <c:pt idx="2">
                  <c:v>7768.38</c:v>
                </c:pt>
                <c:pt idx="3">
                  <c:v>8386.6200000000008</c:v>
                </c:pt>
                <c:pt idx="4">
                  <c:v>9107.92</c:v>
                </c:pt>
                <c:pt idx="5">
                  <c:v>9210.9599999999991</c:v>
                </c:pt>
                <c:pt idx="6">
                  <c:v>9476.48</c:v>
                </c:pt>
                <c:pt idx="7">
                  <c:v>10572.198</c:v>
                </c:pt>
                <c:pt idx="8">
                  <c:v>10922.34</c:v>
                </c:pt>
                <c:pt idx="9">
                  <c:v>11563.37</c:v>
                </c:pt>
                <c:pt idx="10">
                  <c:v>11344.78</c:v>
                </c:pt>
                <c:pt idx="11">
                  <c:v>12298.82</c:v>
                </c:pt>
                <c:pt idx="12">
                  <c:v>14040</c:v>
                </c:pt>
                <c:pt idx="13">
                  <c:v>16497</c:v>
                </c:pt>
                <c:pt idx="14">
                  <c:v>16912</c:v>
                </c:pt>
                <c:pt idx="15">
                  <c:v>16632</c:v>
                </c:pt>
                <c:pt idx="16">
                  <c:v>16583</c:v>
                </c:pt>
                <c:pt idx="17">
                  <c:v>16600</c:v>
                </c:pt>
                <c:pt idx="18">
                  <c:v>16665</c:v>
                </c:pt>
                <c:pt idx="19">
                  <c:v>16900</c:v>
                </c:pt>
                <c:pt idx="20">
                  <c:v>17150</c:v>
                </c:pt>
                <c:pt idx="21">
                  <c:v>16684</c:v>
                </c:pt>
                <c:pt idx="22">
                  <c:v>14100</c:v>
                </c:pt>
                <c:pt idx="23">
                  <c:v>15322</c:v>
                </c:pt>
                <c:pt idx="24">
                  <c:v>14536</c:v>
                </c:pt>
                <c:pt idx="25">
                  <c:v>14418</c:v>
                </c:pt>
                <c:pt idx="26">
                  <c:v>13795</c:v>
                </c:pt>
                <c:pt idx="27">
                  <c:v>14151</c:v>
                </c:pt>
                <c:pt idx="28">
                  <c:v>14596</c:v>
                </c:pt>
                <c:pt idx="29">
                  <c:v>13884</c:v>
                </c:pt>
                <c:pt idx="30">
                  <c:v>14329</c:v>
                </c:pt>
                <c:pt idx="31">
                  <c:v>14774</c:v>
                </c:pt>
                <c:pt idx="32">
                  <c:v>15664</c:v>
                </c:pt>
                <c:pt idx="33">
                  <c:v>15130</c:v>
                </c:pt>
                <c:pt idx="34">
                  <c:v>15486</c:v>
                </c:pt>
                <c:pt idx="35">
                  <c:v>13350</c:v>
                </c:pt>
                <c:pt idx="36">
                  <c:v>14507</c:v>
                </c:pt>
                <c:pt idx="37">
                  <c:v>13439</c:v>
                </c:pt>
                <c:pt idx="38">
                  <c:v>14596</c:v>
                </c:pt>
                <c:pt idx="39">
                  <c:v>14687.136000000002</c:v>
                </c:pt>
                <c:pt idx="40">
                  <c:v>14937</c:v>
                </c:pt>
                <c:pt idx="41">
                  <c:v>15397</c:v>
                </c:pt>
                <c:pt idx="42">
                  <c:v>15353</c:v>
                </c:pt>
                <c:pt idx="43">
                  <c:v>14159</c:v>
                </c:pt>
                <c:pt idx="44">
                  <c:v>14702</c:v>
                </c:pt>
                <c:pt idx="45">
                  <c:v>14215</c:v>
                </c:pt>
                <c:pt idx="46">
                  <c:v>13399</c:v>
                </c:pt>
                <c:pt idx="47">
                  <c:v>10654</c:v>
                </c:pt>
                <c:pt idx="48">
                  <c:v>10104</c:v>
                </c:pt>
                <c:pt idx="49">
                  <c:v>10100</c:v>
                </c:pt>
                <c:pt idx="50">
                  <c:v>10017</c:v>
                </c:pt>
                <c:pt idx="51">
                  <c:v>10262.64</c:v>
                </c:pt>
                <c:pt idx="52">
                  <c:v>9886.8799999999992</c:v>
                </c:pt>
                <c:pt idx="53">
                  <c:v>11791</c:v>
                </c:pt>
              </c:numCache>
            </c:numRef>
          </c:val>
          <c:smooth val="0"/>
        </c:ser>
        <c:dLbls>
          <c:showLegendKey val="0"/>
          <c:showVal val="0"/>
          <c:showCatName val="0"/>
          <c:showSerName val="0"/>
          <c:showPercent val="0"/>
          <c:showBubbleSize val="0"/>
        </c:dLbls>
        <c:marker val="1"/>
        <c:smooth val="0"/>
        <c:axId val="44546688"/>
        <c:axId val="44700416"/>
      </c:lineChart>
      <c:catAx>
        <c:axId val="4454668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700416"/>
        <c:crosses val="autoZero"/>
        <c:auto val="1"/>
        <c:lblAlgn val="ctr"/>
        <c:lblOffset val="100"/>
        <c:tickLblSkip val="3"/>
        <c:noMultiLvlLbl val="0"/>
      </c:catAx>
      <c:valAx>
        <c:axId val="44700416"/>
        <c:scaling>
          <c:orientation val="minMax"/>
        </c:scaling>
        <c:delete val="0"/>
        <c:axPos val="l"/>
        <c:majorGridlines/>
        <c:title>
          <c:tx>
            <c:rich>
              <a:bodyPr/>
              <a:lstStyle/>
              <a:p>
                <a:pPr>
                  <a:defRPr/>
                </a:pPr>
                <a:r>
                  <a:rPr lang="en-US"/>
                  <a:t>Children per year</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546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Total</a:t>
            </a:r>
            <a:r>
              <a:rPr lang="en-US" baseline="0"/>
              <a:t> Cost of Divorce</a:t>
            </a:r>
            <a:endParaRPr lang="en-US"/>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CostofFamilyChange!$C$2:$BD$2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CostofFamilyChange!$C$7:$BD$7</c:f>
              <c:numCache>
                <c:formatCode>#,##0</c:formatCode>
                <c:ptCount val="54"/>
                <c:pt idx="0">
                  <c:v>127407236</c:v>
                </c:pt>
                <c:pt idx="1">
                  <c:v>136234304</c:v>
                </c:pt>
                <c:pt idx="2">
                  <c:v>158132902.40000001</c:v>
                </c:pt>
                <c:pt idx="3">
                  <c:v>169824573.60000002</c:v>
                </c:pt>
                <c:pt idx="4">
                  <c:v>182130272.59999999</c:v>
                </c:pt>
                <c:pt idx="5">
                  <c:v>186037666.80000001</c:v>
                </c:pt>
                <c:pt idx="6">
                  <c:v>190436230.40000004</c:v>
                </c:pt>
                <c:pt idx="7">
                  <c:v>212455419.54000002</c:v>
                </c:pt>
                <c:pt idx="8">
                  <c:v>219491758.19999999</c:v>
                </c:pt>
                <c:pt idx="9">
                  <c:v>234152063.60000002</c:v>
                </c:pt>
                <c:pt idx="10">
                  <c:v>235474857.40000001</c:v>
                </c:pt>
                <c:pt idx="11">
                  <c:v>255277130.59999999</c:v>
                </c:pt>
                <c:pt idx="12">
                  <c:v>293143500</c:v>
                </c:pt>
                <c:pt idx="13">
                  <c:v>347615760</c:v>
                </c:pt>
                <c:pt idx="14">
                  <c:v>362167460</c:v>
                </c:pt>
                <c:pt idx="15">
                  <c:v>361120760</c:v>
                </c:pt>
                <c:pt idx="16">
                  <c:v>366764440</c:v>
                </c:pt>
                <c:pt idx="17">
                  <c:v>371491400</c:v>
                </c:pt>
                <c:pt idx="18">
                  <c:v>371461200</c:v>
                </c:pt>
                <c:pt idx="19">
                  <c:v>378205100</c:v>
                </c:pt>
                <c:pt idx="20">
                  <c:v>386949500</c:v>
                </c:pt>
                <c:pt idx="21">
                  <c:v>378014720</c:v>
                </c:pt>
                <c:pt idx="22">
                  <c:v>323643000</c:v>
                </c:pt>
                <c:pt idx="23">
                  <c:v>351692060</c:v>
                </c:pt>
                <c:pt idx="24">
                  <c:v>336675880</c:v>
                </c:pt>
                <c:pt idx="25">
                  <c:v>338696640</c:v>
                </c:pt>
                <c:pt idx="26">
                  <c:v>324061600</c:v>
                </c:pt>
                <c:pt idx="27">
                  <c:v>332424480</c:v>
                </c:pt>
                <c:pt idx="28">
                  <c:v>342878080</c:v>
                </c:pt>
                <c:pt idx="29">
                  <c:v>326152320</c:v>
                </c:pt>
                <c:pt idx="30">
                  <c:v>336605920</c:v>
                </c:pt>
                <c:pt idx="31">
                  <c:v>347059520</c:v>
                </c:pt>
                <c:pt idx="32">
                  <c:v>367966720</c:v>
                </c:pt>
                <c:pt idx="33">
                  <c:v>355422400</c:v>
                </c:pt>
                <c:pt idx="34">
                  <c:v>363785280</c:v>
                </c:pt>
                <c:pt idx="35">
                  <c:v>313608000</c:v>
                </c:pt>
                <c:pt idx="36">
                  <c:v>340787360</c:v>
                </c:pt>
                <c:pt idx="37">
                  <c:v>315698720</c:v>
                </c:pt>
                <c:pt idx="38">
                  <c:v>342878080</c:v>
                </c:pt>
                <c:pt idx="39">
                  <c:v>345018977.28000009</c:v>
                </c:pt>
                <c:pt idx="40">
                  <c:v>355422400</c:v>
                </c:pt>
                <c:pt idx="41">
                  <c:v>332424480</c:v>
                </c:pt>
                <c:pt idx="42">
                  <c:v>386628486.72000003</c:v>
                </c:pt>
                <c:pt idx="43">
                  <c:v>367632204.80000001</c:v>
                </c:pt>
                <c:pt idx="44">
                  <c:v>357513120</c:v>
                </c:pt>
                <c:pt idx="45">
                  <c:v>357513120</c:v>
                </c:pt>
                <c:pt idx="46">
                  <c:v>356781368</c:v>
                </c:pt>
                <c:pt idx="47">
                  <c:v>348355766.39999998</c:v>
                </c:pt>
                <c:pt idx="48">
                  <c:v>338905712</c:v>
                </c:pt>
                <c:pt idx="49">
                  <c:v>329873801.60000002</c:v>
                </c:pt>
                <c:pt idx="50">
                  <c:v>280927136</c:v>
                </c:pt>
                <c:pt idx="51">
                  <c:v>288713299.19999999</c:v>
                </c:pt>
                <c:pt idx="52">
                  <c:v>278142246.39999998</c:v>
                </c:pt>
                <c:pt idx="53">
                  <c:v>296519371</c:v>
                </c:pt>
              </c:numCache>
            </c:numRef>
          </c:val>
          <c:smooth val="0"/>
        </c:ser>
        <c:dLbls>
          <c:showLegendKey val="0"/>
          <c:showVal val="0"/>
          <c:showCatName val="0"/>
          <c:showSerName val="0"/>
          <c:showPercent val="0"/>
          <c:showBubbleSize val="0"/>
        </c:dLbls>
        <c:marker val="1"/>
        <c:smooth val="0"/>
        <c:axId val="44712320"/>
        <c:axId val="44714240"/>
      </c:lineChart>
      <c:catAx>
        <c:axId val="447123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714240"/>
        <c:crosses val="autoZero"/>
        <c:auto val="1"/>
        <c:lblAlgn val="ctr"/>
        <c:lblOffset val="100"/>
        <c:tickLblSkip val="3"/>
        <c:noMultiLvlLbl val="0"/>
      </c:catAx>
      <c:valAx>
        <c:axId val="44714240"/>
        <c:scaling>
          <c:orientation val="minMax"/>
        </c:scaling>
        <c:delete val="0"/>
        <c:axPos val="l"/>
        <c:majorGridlines/>
        <c:title>
          <c:tx>
            <c:rich>
              <a:bodyPr/>
              <a:lstStyle/>
              <a:p>
                <a:pPr>
                  <a:defRPr/>
                </a:pPr>
                <a:r>
                  <a:rPr lang="en-US"/>
                  <a:t>$</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712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Time Spent Watching Television</a:t>
            </a:r>
          </a:p>
        </c:rich>
      </c:tx>
      <c:layout/>
      <c:overlay val="0"/>
    </c:title>
    <c:autoTitleDeleted val="0"/>
    <c:plotArea>
      <c:layout/>
      <c:lineChart>
        <c:grouping val="standard"/>
        <c:varyColors val="0"/>
        <c:ser>
          <c:idx val="0"/>
          <c:order val="0"/>
          <c:spPr>
            <a:ln w="63500">
              <a:solidFill>
                <a:schemeClr val="accent3">
                  <a:lumMod val="75000"/>
                </a:schemeClr>
              </a:solidFill>
            </a:ln>
          </c:spPr>
          <c:marker>
            <c:symbol val="circle"/>
            <c:size val="5"/>
            <c:spPr>
              <a:solidFill>
                <a:schemeClr val="bg1"/>
              </a:solidFill>
            </c:spPr>
          </c:marker>
          <c:cat>
            <c:numRef>
              <c:f>CostofFamilyChange!$C$2:$BD$2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CostofFamilyChange!$C$8:$BD$8</c:f>
              <c:numCache>
                <c:formatCode>#,##0.00</c:formatCode>
                <c:ptCount val="54"/>
                <c:pt idx="0">
                  <c:v>1835.95</c:v>
                </c:pt>
                <c:pt idx="1">
                  <c:v>1868.8</c:v>
                </c:pt>
                <c:pt idx="2">
                  <c:v>1901.65</c:v>
                </c:pt>
                <c:pt idx="3">
                  <c:v>1934.5</c:v>
                </c:pt>
                <c:pt idx="4">
                  <c:v>1967.35</c:v>
                </c:pt>
                <c:pt idx="5">
                  <c:v>2000.2</c:v>
                </c:pt>
                <c:pt idx="6">
                  <c:v>2033.05</c:v>
                </c:pt>
                <c:pt idx="7">
                  <c:v>2065.9</c:v>
                </c:pt>
                <c:pt idx="8">
                  <c:v>2098.75</c:v>
                </c:pt>
                <c:pt idx="9">
                  <c:v>2131.6</c:v>
                </c:pt>
                <c:pt idx="10">
                  <c:v>2164.4499999999998</c:v>
                </c:pt>
                <c:pt idx="11">
                  <c:v>2178.3200000000002</c:v>
                </c:pt>
                <c:pt idx="12">
                  <c:v>2192.19</c:v>
                </c:pt>
                <c:pt idx="13">
                  <c:v>2206.06</c:v>
                </c:pt>
                <c:pt idx="14">
                  <c:v>2219.9299999999998</c:v>
                </c:pt>
                <c:pt idx="15">
                  <c:v>2233.8000000000002</c:v>
                </c:pt>
                <c:pt idx="16">
                  <c:v>2268.84</c:v>
                </c:pt>
                <c:pt idx="17">
                  <c:v>2303.88</c:v>
                </c:pt>
                <c:pt idx="18">
                  <c:v>2338.92</c:v>
                </c:pt>
                <c:pt idx="19">
                  <c:v>2373.96</c:v>
                </c:pt>
                <c:pt idx="20">
                  <c:v>2409</c:v>
                </c:pt>
                <c:pt idx="21">
                  <c:v>2450.61</c:v>
                </c:pt>
                <c:pt idx="22">
                  <c:v>2492.2199999999998</c:v>
                </c:pt>
                <c:pt idx="23">
                  <c:v>2533.83</c:v>
                </c:pt>
                <c:pt idx="24">
                  <c:v>2575.44</c:v>
                </c:pt>
                <c:pt idx="25">
                  <c:v>2617.0500000000002</c:v>
                </c:pt>
                <c:pt idx="26">
                  <c:v>2595.88</c:v>
                </c:pt>
                <c:pt idx="27">
                  <c:v>2574.71</c:v>
                </c:pt>
                <c:pt idx="28">
                  <c:v>2553.54</c:v>
                </c:pt>
                <c:pt idx="29">
                  <c:v>2532.37</c:v>
                </c:pt>
                <c:pt idx="30">
                  <c:v>2511.1999999999998</c:v>
                </c:pt>
                <c:pt idx="31">
                  <c:v>2540.4</c:v>
                </c:pt>
                <c:pt idx="32">
                  <c:v>2569.6</c:v>
                </c:pt>
                <c:pt idx="33">
                  <c:v>2598.8000000000002</c:v>
                </c:pt>
                <c:pt idx="34">
                  <c:v>2628</c:v>
                </c:pt>
                <c:pt idx="35">
                  <c:v>2657.2</c:v>
                </c:pt>
                <c:pt idx="36">
                  <c:v>2620.6999999999998</c:v>
                </c:pt>
                <c:pt idx="37">
                  <c:v>2628</c:v>
                </c:pt>
                <c:pt idx="38">
                  <c:v>2675.45</c:v>
                </c:pt>
                <c:pt idx="39">
                  <c:v>2719.25</c:v>
                </c:pt>
                <c:pt idx="40">
                  <c:v>2766.7</c:v>
                </c:pt>
                <c:pt idx="41">
                  <c:v>2805.4337999999998</c:v>
                </c:pt>
                <c:pt idx="42">
                  <c:v>2844.7098731999999</c:v>
                </c:pt>
                <c:pt idx="43">
                  <c:v>2884.5358114248002</c:v>
                </c:pt>
                <c:pt idx="44">
                  <c:v>2924.9193127847475</c:v>
                </c:pt>
                <c:pt idx="45">
                  <c:v>2965.8681831637341</c:v>
                </c:pt>
                <c:pt idx="46">
                  <c:v>3007.3903377280262</c:v>
                </c:pt>
                <c:pt idx="47">
                  <c:v>3049.4938024562189</c:v>
                </c:pt>
                <c:pt idx="48">
                  <c:v>3092.186715690606</c:v>
                </c:pt>
                <c:pt idx="49">
                  <c:v>3134.8796289249935</c:v>
                </c:pt>
                <c:pt idx="50">
                  <c:v>3177.5725421593806</c:v>
                </c:pt>
                <c:pt idx="51">
                  <c:v>3220.2654553937678</c:v>
                </c:pt>
                <c:pt idx="52">
                  <c:v>3262.9583686281553</c:v>
                </c:pt>
                <c:pt idx="53">
                  <c:v>3305.6512818625424</c:v>
                </c:pt>
              </c:numCache>
            </c:numRef>
          </c:val>
          <c:smooth val="0"/>
        </c:ser>
        <c:dLbls>
          <c:showLegendKey val="0"/>
          <c:showVal val="0"/>
          <c:showCatName val="0"/>
          <c:showSerName val="0"/>
          <c:showPercent val="0"/>
          <c:showBubbleSize val="0"/>
        </c:dLbls>
        <c:marker val="1"/>
        <c:smooth val="0"/>
        <c:axId val="44734336"/>
        <c:axId val="44736512"/>
      </c:lineChart>
      <c:catAx>
        <c:axId val="447343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44736512"/>
        <c:crosses val="autoZero"/>
        <c:auto val="1"/>
        <c:lblAlgn val="ctr"/>
        <c:lblOffset val="100"/>
        <c:tickLblSkip val="3"/>
        <c:noMultiLvlLbl val="0"/>
      </c:catAx>
      <c:valAx>
        <c:axId val="44736512"/>
        <c:scaling>
          <c:orientation val="minMax"/>
        </c:scaling>
        <c:delete val="0"/>
        <c:axPos val="l"/>
        <c:majorGridlines/>
        <c:title>
          <c:tx>
            <c:rich>
              <a:bodyPr/>
              <a:lstStyle/>
              <a:p>
                <a:pPr>
                  <a:defRPr/>
                </a:pPr>
                <a:r>
                  <a:rPr lang="en-US"/>
                  <a:t>hours per person per year</a:t>
                </a:r>
              </a:p>
            </c:rich>
          </c:tx>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734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 Id="rId9"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8.xml"/><Relationship Id="rId7" Type="http://schemas.openxmlformats.org/officeDocument/2006/relationships/chart" Target="../charts/chart42.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7</xdr:col>
      <xdr:colOff>841375</xdr:colOff>
      <xdr:row>51</xdr:row>
      <xdr:rowOff>115888</xdr:rowOff>
    </xdr:from>
    <xdr:to>
      <xdr:col>13</xdr:col>
      <xdr:colOff>517525</xdr:colOff>
      <xdr:row>58</xdr:row>
      <xdr:rowOff>1744663</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889000</xdr:colOff>
      <xdr:row>36</xdr:row>
      <xdr:rowOff>71438</xdr:rowOff>
    </xdr:from>
    <xdr:to>
      <xdr:col>13</xdr:col>
      <xdr:colOff>498475</xdr:colOff>
      <xdr:row>51</xdr:row>
      <xdr:rowOff>90488</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889000</xdr:colOff>
      <xdr:row>58</xdr:row>
      <xdr:rowOff>1928813</xdr:rowOff>
    </xdr:from>
    <xdr:to>
      <xdr:col>13</xdr:col>
      <xdr:colOff>530225</xdr:colOff>
      <xdr:row>58</xdr:row>
      <xdr:rowOff>5014913</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520700</xdr:colOff>
      <xdr:row>5</xdr:row>
      <xdr:rowOff>31750</xdr:rowOff>
    </xdr:from>
    <xdr:to>
      <xdr:col>6</xdr:col>
      <xdr:colOff>952500</xdr:colOff>
      <xdr:row>20</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488950</xdr:colOff>
      <xdr:row>21</xdr:row>
      <xdr:rowOff>19050</xdr:rowOff>
    </xdr:from>
    <xdr:to>
      <xdr:col>6</xdr:col>
      <xdr:colOff>958850</xdr:colOff>
      <xdr:row>37</xdr:row>
      <xdr:rowOff>355600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501650</xdr:colOff>
      <xdr:row>38</xdr:row>
      <xdr:rowOff>19050</xdr:rowOff>
    </xdr:from>
    <xdr:to>
      <xdr:col>6</xdr:col>
      <xdr:colOff>946150</xdr:colOff>
      <xdr:row>42</xdr:row>
      <xdr:rowOff>127000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469900</xdr:colOff>
      <xdr:row>43</xdr:row>
      <xdr:rowOff>88900</xdr:rowOff>
    </xdr:from>
    <xdr:to>
      <xdr:col>6</xdr:col>
      <xdr:colOff>927100</xdr:colOff>
      <xdr:row>48</xdr:row>
      <xdr:rowOff>1263650</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747713</xdr:colOff>
      <xdr:row>52</xdr:row>
      <xdr:rowOff>171450</xdr:rowOff>
    </xdr:from>
    <xdr:to>
      <xdr:col>12</xdr:col>
      <xdr:colOff>90488</xdr:colOff>
      <xdr:row>68</xdr:row>
      <xdr:rowOff>34925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766763</xdr:colOff>
      <xdr:row>68</xdr:row>
      <xdr:rowOff>114300</xdr:rowOff>
    </xdr:from>
    <xdr:to>
      <xdr:col>12</xdr:col>
      <xdr:colOff>103188</xdr:colOff>
      <xdr:row>83</xdr:row>
      <xdr:rowOff>50800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754063</xdr:colOff>
      <xdr:row>83</xdr:row>
      <xdr:rowOff>180975</xdr:rowOff>
    </xdr:from>
    <xdr:to>
      <xdr:col>12</xdr:col>
      <xdr:colOff>115888</xdr:colOff>
      <xdr:row>89</xdr:row>
      <xdr:rowOff>1270000</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728663</xdr:colOff>
      <xdr:row>89</xdr:row>
      <xdr:rowOff>1492250</xdr:rowOff>
    </xdr:from>
    <xdr:to>
      <xdr:col>12</xdr:col>
      <xdr:colOff>173038</xdr:colOff>
      <xdr:row>93</xdr:row>
      <xdr:rowOff>833437</xdr:rowOff>
    </xdr:to>
    <xdr:graphicFrame macro="">
      <xdr:nvGraphicFramePr>
        <xdr:cNvPr id="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715963</xdr:colOff>
      <xdr:row>93</xdr:row>
      <xdr:rowOff>966787</xdr:rowOff>
    </xdr:from>
    <xdr:to>
      <xdr:col>12</xdr:col>
      <xdr:colOff>192088</xdr:colOff>
      <xdr:row>100</xdr:row>
      <xdr:rowOff>1111250</xdr:rowOff>
    </xdr:to>
    <xdr:graphicFrame macro="">
      <xdr:nvGraphicFramePr>
        <xdr:cNvPr id="6"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722313</xdr:colOff>
      <xdr:row>100</xdr:row>
      <xdr:rowOff>1308100</xdr:rowOff>
    </xdr:from>
    <xdr:to>
      <xdr:col>12</xdr:col>
      <xdr:colOff>192088</xdr:colOff>
      <xdr:row>113</xdr:row>
      <xdr:rowOff>77788</xdr:rowOff>
    </xdr:to>
    <xdr:graphicFrame macro="">
      <xdr:nvGraphicFramePr>
        <xdr:cNvPr id="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696913</xdr:colOff>
      <xdr:row>113</xdr:row>
      <xdr:rowOff>173038</xdr:rowOff>
    </xdr:from>
    <xdr:to>
      <xdr:col>12</xdr:col>
      <xdr:colOff>198438</xdr:colOff>
      <xdr:row>131</xdr:row>
      <xdr:rowOff>22225</xdr:rowOff>
    </xdr:to>
    <xdr:graphicFrame macro="">
      <xdr:nvGraphicFramePr>
        <xdr:cNvPr id="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620713</xdr:colOff>
      <xdr:row>132</xdr:row>
      <xdr:rowOff>28575</xdr:rowOff>
    </xdr:from>
    <xdr:to>
      <xdr:col>12</xdr:col>
      <xdr:colOff>252413</xdr:colOff>
      <xdr:row>150</xdr:row>
      <xdr:rowOff>25400</xdr:rowOff>
    </xdr:to>
    <xdr:graphicFrame macro="">
      <xdr:nvGraphicFramePr>
        <xdr:cNvPr id="9"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531813</xdr:colOff>
      <xdr:row>151</xdr:row>
      <xdr:rowOff>15875</xdr:rowOff>
    </xdr:from>
    <xdr:to>
      <xdr:col>12</xdr:col>
      <xdr:colOff>265113</xdr:colOff>
      <xdr:row>168</xdr:row>
      <xdr:rowOff>133350</xdr:rowOff>
    </xdr:to>
    <xdr:graphicFrame macro="">
      <xdr:nvGraphicFramePr>
        <xdr:cNvPr id="1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304800</xdr:colOff>
      <xdr:row>50</xdr:row>
      <xdr:rowOff>80962</xdr:rowOff>
    </xdr:from>
    <xdr:to>
      <xdr:col>10</xdr:col>
      <xdr:colOff>57150</xdr:colOff>
      <xdr:row>68</xdr:row>
      <xdr:rowOff>61912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279400</xdr:colOff>
      <xdr:row>69</xdr:row>
      <xdr:rowOff>55562</xdr:rowOff>
    </xdr:from>
    <xdr:to>
      <xdr:col>10</xdr:col>
      <xdr:colOff>95250</xdr:colOff>
      <xdr:row>76</xdr:row>
      <xdr:rowOff>1751012</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292100</xdr:colOff>
      <xdr:row>76</xdr:row>
      <xdr:rowOff>1912937</xdr:rowOff>
    </xdr:from>
    <xdr:to>
      <xdr:col>10</xdr:col>
      <xdr:colOff>152400</xdr:colOff>
      <xdr:row>83</xdr:row>
      <xdr:rowOff>198437</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279400</xdr:colOff>
      <xdr:row>83</xdr:row>
      <xdr:rowOff>411162</xdr:rowOff>
    </xdr:from>
    <xdr:to>
      <xdr:col>10</xdr:col>
      <xdr:colOff>222250</xdr:colOff>
      <xdr:row>87</xdr:row>
      <xdr:rowOff>1979612</xdr:rowOff>
    </xdr:to>
    <xdr:graphicFrame macro="">
      <xdr:nvGraphicFramePr>
        <xdr:cNvPr id="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285750</xdr:colOff>
      <xdr:row>120</xdr:row>
      <xdr:rowOff>73025</xdr:rowOff>
    </xdr:from>
    <xdr:to>
      <xdr:col>10</xdr:col>
      <xdr:colOff>171450</xdr:colOff>
      <xdr:row>139</xdr:row>
      <xdr:rowOff>33337</xdr:rowOff>
    </xdr:to>
    <xdr:graphicFrame macro="">
      <xdr:nvGraphicFramePr>
        <xdr:cNvPr id="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279400</xdr:colOff>
      <xdr:row>87</xdr:row>
      <xdr:rowOff>2087562</xdr:rowOff>
    </xdr:from>
    <xdr:to>
      <xdr:col>10</xdr:col>
      <xdr:colOff>222250</xdr:colOff>
      <xdr:row>103</xdr:row>
      <xdr:rowOff>38100</xdr:rowOff>
    </xdr:to>
    <xdr:graphicFrame macro="">
      <xdr:nvGraphicFramePr>
        <xdr:cNvPr id="7"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374650</xdr:colOff>
      <xdr:row>103</xdr:row>
      <xdr:rowOff>117475</xdr:rowOff>
    </xdr:from>
    <xdr:to>
      <xdr:col>10</xdr:col>
      <xdr:colOff>241300</xdr:colOff>
      <xdr:row>119</xdr:row>
      <xdr:rowOff>165100</xdr:rowOff>
    </xdr:to>
    <xdr:graphicFrame macro="">
      <xdr:nvGraphicFramePr>
        <xdr:cNvPr id="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279400</xdr:colOff>
      <xdr:row>140</xdr:row>
      <xdr:rowOff>20637</xdr:rowOff>
    </xdr:from>
    <xdr:to>
      <xdr:col>10</xdr:col>
      <xdr:colOff>209550</xdr:colOff>
      <xdr:row>158</xdr:row>
      <xdr:rowOff>103187</xdr:rowOff>
    </xdr:to>
    <xdr:graphicFrame macro="">
      <xdr:nvGraphicFramePr>
        <xdr:cNvPr id="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534988</xdr:colOff>
      <xdr:row>40</xdr:row>
      <xdr:rowOff>44451</xdr:rowOff>
    </xdr:from>
    <xdr:to>
      <xdr:col>10</xdr:col>
      <xdr:colOff>26988</xdr:colOff>
      <xdr:row>56</xdr:row>
      <xdr:rowOff>147638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509588</xdr:colOff>
      <xdr:row>58</xdr:row>
      <xdr:rowOff>65088</xdr:rowOff>
    </xdr:from>
    <xdr:to>
      <xdr:col>10</xdr:col>
      <xdr:colOff>46038</xdr:colOff>
      <xdr:row>74</xdr:row>
      <xdr:rowOff>53975</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503238</xdr:colOff>
      <xdr:row>74</xdr:row>
      <xdr:rowOff>146050</xdr:rowOff>
    </xdr:from>
    <xdr:to>
      <xdr:col>10</xdr:col>
      <xdr:colOff>90488</xdr:colOff>
      <xdr:row>75</xdr:row>
      <xdr:rowOff>2984500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503238</xdr:colOff>
      <xdr:row>75</xdr:row>
      <xdr:rowOff>3133725</xdr:rowOff>
    </xdr:from>
    <xdr:to>
      <xdr:col>10</xdr:col>
      <xdr:colOff>109538</xdr:colOff>
      <xdr:row>82</xdr:row>
      <xdr:rowOff>296863</xdr:rowOff>
    </xdr:to>
    <xdr:graphicFrame macro="">
      <xdr:nvGraphicFramePr>
        <xdr:cNvPr id="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131763</xdr:colOff>
      <xdr:row>29</xdr:row>
      <xdr:rowOff>71438</xdr:rowOff>
    </xdr:from>
    <xdr:to>
      <xdr:col>10</xdr:col>
      <xdr:colOff>879476</xdr:colOff>
      <xdr:row>45</xdr:row>
      <xdr:rowOff>134938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119063</xdr:colOff>
      <xdr:row>45</xdr:row>
      <xdr:rowOff>382588</xdr:rowOff>
    </xdr:from>
    <xdr:to>
      <xdr:col>10</xdr:col>
      <xdr:colOff>879476</xdr:colOff>
      <xdr:row>49</xdr:row>
      <xdr:rowOff>2382838</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984250</xdr:colOff>
      <xdr:row>30</xdr:row>
      <xdr:rowOff>4763</xdr:rowOff>
    </xdr:from>
    <xdr:to>
      <xdr:col>11</xdr:col>
      <xdr:colOff>673100</xdr:colOff>
      <xdr:row>46</xdr:row>
      <xdr:rowOff>119063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965200</xdr:colOff>
      <xdr:row>47</xdr:row>
      <xdr:rowOff>125413</xdr:rowOff>
    </xdr:from>
    <xdr:to>
      <xdr:col>11</xdr:col>
      <xdr:colOff>673100</xdr:colOff>
      <xdr:row>51</xdr:row>
      <xdr:rowOff>2274888</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857250</xdr:colOff>
      <xdr:row>51</xdr:row>
      <xdr:rowOff>2436813</xdr:rowOff>
    </xdr:from>
    <xdr:to>
      <xdr:col>11</xdr:col>
      <xdr:colOff>685800</xdr:colOff>
      <xdr:row>58</xdr:row>
      <xdr:rowOff>273051</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512762</xdr:colOff>
      <xdr:row>19</xdr:row>
      <xdr:rowOff>131762</xdr:rowOff>
    </xdr:from>
    <xdr:to>
      <xdr:col>12</xdr:col>
      <xdr:colOff>836612</xdr:colOff>
      <xdr:row>33</xdr:row>
      <xdr:rowOff>725487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468312</xdr:colOff>
      <xdr:row>33</xdr:row>
      <xdr:rowOff>960437</xdr:rowOff>
    </xdr:from>
    <xdr:to>
      <xdr:col>12</xdr:col>
      <xdr:colOff>855662</xdr:colOff>
      <xdr:row>40</xdr:row>
      <xdr:rowOff>644525</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487362</xdr:colOff>
      <xdr:row>40</xdr:row>
      <xdr:rowOff>809625</xdr:rowOff>
    </xdr:from>
    <xdr:to>
      <xdr:col>12</xdr:col>
      <xdr:colOff>842962</xdr:colOff>
      <xdr:row>48</xdr:row>
      <xdr:rowOff>87312</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1092200</xdr:colOff>
      <xdr:row>27</xdr:row>
      <xdr:rowOff>12700</xdr:rowOff>
    </xdr:from>
    <xdr:to>
      <xdr:col>9</xdr:col>
      <xdr:colOff>863600</xdr:colOff>
      <xdr:row>43</xdr:row>
      <xdr:rowOff>6350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1136650</xdr:colOff>
      <xdr:row>43</xdr:row>
      <xdr:rowOff>101600</xdr:rowOff>
    </xdr:from>
    <xdr:to>
      <xdr:col>9</xdr:col>
      <xdr:colOff>908050</xdr:colOff>
      <xdr:row>47</xdr:row>
      <xdr:rowOff>2152650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1123950</xdr:colOff>
      <xdr:row>47</xdr:row>
      <xdr:rowOff>2279650</xdr:rowOff>
    </xdr:from>
    <xdr:to>
      <xdr:col>9</xdr:col>
      <xdr:colOff>895350</xdr:colOff>
      <xdr:row>55</xdr:row>
      <xdr:rowOff>698500</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1041400</xdr:colOff>
      <xdr:row>9</xdr:row>
      <xdr:rowOff>19050</xdr:rowOff>
    </xdr:from>
    <xdr:to>
      <xdr:col>8</xdr:col>
      <xdr:colOff>76200</xdr:colOff>
      <xdr:row>24</xdr:row>
      <xdr:rowOff>146050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1022350</xdr:colOff>
      <xdr:row>25</xdr:row>
      <xdr:rowOff>76200</xdr:rowOff>
    </xdr:from>
    <xdr:to>
      <xdr:col>8</xdr:col>
      <xdr:colOff>88900</xdr:colOff>
      <xdr:row>42</xdr:row>
      <xdr:rowOff>44450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1047750</xdr:colOff>
      <xdr:row>42</xdr:row>
      <xdr:rowOff>133350</xdr:rowOff>
    </xdr:from>
    <xdr:to>
      <xdr:col>8</xdr:col>
      <xdr:colOff>127000</xdr:colOff>
      <xdr:row>60</xdr:row>
      <xdr:rowOff>69850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1079500</xdr:colOff>
      <xdr:row>61</xdr:row>
      <xdr:rowOff>0</xdr:rowOff>
    </xdr:from>
    <xdr:to>
      <xdr:col>8</xdr:col>
      <xdr:colOff>190500</xdr:colOff>
      <xdr:row>70</xdr:row>
      <xdr:rowOff>1270000</xdr:rowOff>
    </xdr:to>
    <xdr:graphicFrame macro="">
      <xdr:nvGraphicFramePr>
        <xdr:cNvPr id="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1104900</xdr:colOff>
      <xdr:row>70</xdr:row>
      <xdr:rowOff>1339850</xdr:rowOff>
    </xdr:from>
    <xdr:to>
      <xdr:col>8</xdr:col>
      <xdr:colOff>196850</xdr:colOff>
      <xdr:row>70</xdr:row>
      <xdr:rowOff>4489450</xdr:rowOff>
    </xdr:to>
    <xdr:graphicFrame macro="">
      <xdr:nvGraphicFramePr>
        <xdr:cNvPr id="6"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1111250</xdr:colOff>
      <xdr:row>70</xdr:row>
      <xdr:rowOff>4584700</xdr:rowOff>
    </xdr:from>
    <xdr:to>
      <xdr:col>8</xdr:col>
      <xdr:colOff>190500</xdr:colOff>
      <xdr:row>77</xdr:row>
      <xdr:rowOff>1111250</xdr:rowOff>
    </xdr:to>
    <xdr:graphicFrame macro="">
      <xdr:nvGraphicFramePr>
        <xdr:cNvPr id="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1066800</xdr:colOff>
      <xdr:row>77</xdr:row>
      <xdr:rowOff>1365250</xdr:rowOff>
    </xdr:from>
    <xdr:to>
      <xdr:col>8</xdr:col>
      <xdr:colOff>285750</xdr:colOff>
      <xdr:row>81</xdr:row>
      <xdr:rowOff>2387600</xdr:rowOff>
    </xdr:to>
    <xdr:graphicFrame macro="">
      <xdr:nvGraphicFramePr>
        <xdr:cNvPr id="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DGPI-2013-10.7Graph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I"/>
      <sheetName val="GPIvGSP"/>
      <sheetName val="POP"/>
      <sheetName val="GSP"/>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sheetData sheetId="1"/>
      <sheetData sheetId="2">
        <row r="4">
          <cell r="BN4">
            <v>5928.8140000000003</v>
          </cell>
        </row>
      </sheetData>
      <sheetData sheetId="3"/>
      <sheetData sheetId="4"/>
      <sheetData sheetId="5"/>
      <sheetData sheetId="6"/>
      <sheetData sheetId="7"/>
      <sheetData sheetId="8"/>
      <sheetData sheetId="9">
        <row r="21">
          <cell r="BD21">
            <v>6.7</v>
          </cell>
        </row>
        <row r="30">
          <cell r="BD30">
            <v>3127676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bls.gov/tus/tables.ht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dc.gov/nchs/data/series/sr_21/sr21_046.pdf" TargetMode="External"/><Relationship Id="rId1" Type="http://schemas.openxmlformats.org/officeDocument/2006/relationships/hyperlink" Target="http://www.cdc.gov/nchs/data/series/sr_21/sr21_046.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hyperlink" Target="http://www.epa.gov/wastes/nonhaz/municipal/pubs/msw2009-fs.pdf"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quickfacts.census.gov/qfd/states/24000.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www.bea.gov/iTable/iTable.cfm?ReqID=10&amp;step=1"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quickfacts.census.gov/qfd/states/240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8"/>
  <sheetViews>
    <sheetView zoomScale="80" zoomScaleNormal="80" workbookViewId="0">
      <pane xSplit="2" ySplit="2" topLeftCell="G3" activePane="bottomRight" state="frozen"/>
      <selection activeCell="A42" sqref="A42:F42"/>
      <selection pane="topRight" activeCell="A42" sqref="A42:F42"/>
      <selection pane="bottomLeft" activeCell="A42" sqref="A42:F42"/>
      <selection pane="bottomRight" activeCell="H9" sqref="H9"/>
    </sheetView>
  </sheetViews>
  <sheetFormatPr defaultColWidth="11" defaultRowHeight="14" x14ac:dyDescent="0.3"/>
  <cols>
    <col min="1" max="1" width="10.53515625" style="33" customWidth="1"/>
    <col min="2" max="2" width="58.15234375" customWidth="1"/>
    <col min="3" max="45" width="12.53515625" customWidth="1"/>
    <col min="46" max="54" width="12.53515625" style="14" customWidth="1"/>
    <col min="55" max="59" width="11" style="14"/>
  </cols>
  <sheetData>
    <row r="1" spans="1:61" s="4" customFormat="1" ht="18" thickBot="1" x14ac:dyDescent="0.4">
      <c r="A1" s="1" t="s">
        <v>0</v>
      </c>
      <c r="B1" s="2"/>
      <c r="C1" s="2"/>
      <c r="D1" s="2"/>
      <c r="E1" s="2"/>
      <c r="F1" s="2"/>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row>
    <row r="2" spans="1:61" s="7" customFormat="1" thickTop="1" x14ac:dyDescent="0.25">
      <c r="A2" s="5"/>
      <c r="B2" s="6" t="s">
        <v>1</v>
      </c>
      <c r="C2" s="7">
        <v>1960</v>
      </c>
      <c r="D2" s="7">
        <v>1961</v>
      </c>
      <c r="E2" s="7">
        <v>1962</v>
      </c>
      <c r="F2" s="7">
        <v>1963</v>
      </c>
      <c r="G2" s="7">
        <v>1964</v>
      </c>
      <c r="H2" s="7">
        <v>1965</v>
      </c>
      <c r="I2" s="7">
        <v>1966</v>
      </c>
      <c r="J2" s="7">
        <v>1967</v>
      </c>
      <c r="K2" s="7">
        <v>1968</v>
      </c>
      <c r="L2" s="7">
        <v>1969</v>
      </c>
      <c r="M2" s="7">
        <v>1970</v>
      </c>
      <c r="N2" s="7">
        <v>1971</v>
      </c>
      <c r="O2" s="7">
        <v>1972</v>
      </c>
      <c r="P2" s="7">
        <v>1973</v>
      </c>
      <c r="Q2" s="7">
        <v>1974</v>
      </c>
      <c r="R2" s="7">
        <v>1975</v>
      </c>
      <c r="S2" s="7">
        <v>1976</v>
      </c>
      <c r="T2" s="7">
        <v>1977</v>
      </c>
      <c r="U2" s="7">
        <v>1978</v>
      </c>
      <c r="V2" s="7">
        <v>1979</v>
      </c>
      <c r="W2" s="7">
        <v>1980</v>
      </c>
      <c r="X2" s="7">
        <v>1981</v>
      </c>
      <c r="Y2" s="7">
        <v>1982</v>
      </c>
      <c r="Z2" s="7">
        <v>1983</v>
      </c>
      <c r="AA2" s="7">
        <v>1984</v>
      </c>
      <c r="AB2" s="7">
        <v>1985</v>
      </c>
      <c r="AC2" s="7">
        <v>1986</v>
      </c>
      <c r="AD2" s="7">
        <v>1987</v>
      </c>
      <c r="AE2" s="7">
        <v>1988</v>
      </c>
      <c r="AF2" s="7">
        <v>1989</v>
      </c>
      <c r="AG2" s="7">
        <v>1990</v>
      </c>
      <c r="AH2" s="7">
        <v>1991</v>
      </c>
      <c r="AI2" s="7">
        <v>1992</v>
      </c>
      <c r="AJ2" s="7">
        <v>1993</v>
      </c>
      <c r="AK2" s="7">
        <v>1994</v>
      </c>
      <c r="AL2" s="7">
        <v>1995</v>
      </c>
      <c r="AM2" s="7">
        <v>1996</v>
      </c>
      <c r="AN2" s="7">
        <v>1997</v>
      </c>
      <c r="AO2" s="7">
        <v>1998</v>
      </c>
      <c r="AP2" s="7">
        <v>1999</v>
      </c>
      <c r="AQ2" s="7">
        <v>2000</v>
      </c>
      <c r="AR2" s="7">
        <v>2001</v>
      </c>
      <c r="AS2" s="7">
        <v>2002</v>
      </c>
      <c r="AT2" s="7">
        <v>2003</v>
      </c>
      <c r="AU2" s="7">
        <v>2004</v>
      </c>
      <c r="AV2" s="7">
        <v>2005</v>
      </c>
      <c r="AW2" s="7">
        <v>2006</v>
      </c>
      <c r="AX2" s="7">
        <v>2007</v>
      </c>
      <c r="AY2" s="7">
        <v>2008</v>
      </c>
      <c r="AZ2" s="7">
        <v>2009</v>
      </c>
      <c r="BA2" s="7">
        <v>2010</v>
      </c>
      <c r="BB2" s="7">
        <v>2011</v>
      </c>
      <c r="BC2" s="7">
        <v>2012</v>
      </c>
      <c r="BD2" s="7">
        <v>2013</v>
      </c>
    </row>
    <row r="3" spans="1:61" s="10" customFormat="1" ht="15.75" customHeight="1" x14ac:dyDescent="0.3">
      <c r="A3" s="8">
        <v>1</v>
      </c>
      <c r="B3" s="9" t="s">
        <v>2</v>
      </c>
      <c r="C3" s="9">
        <v>11.918824491170243</v>
      </c>
      <c r="D3" s="9">
        <v>12.351176145495065</v>
      </c>
      <c r="E3" s="9">
        <v>13.018251585721478</v>
      </c>
      <c r="F3" s="9">
        <v>13.543086630543284</v>
      </c>
      <c r="G3" s="9">
        <v>14.365799738886935</v>
      </c>
      <c r="H3" s="9">
        <v>15.192557276914291</v>
      </c>
      <c r="I3" s="9">
        <v>16.039091829533444</v>
      </c>
      <c r="J3" s="9">
        <v>16.683871725099035</v>
      </c>
      <c r="K3" s="9">
        <v>17.441587110767792</v>
      </c>
      <c r="L3" s="9">
        <v>18.44100050718437</v>
      </c>
      <c r="M3" s="9">
        <v>18.886747427489105</v>
      </c>
      <c r="N3" s="9">
        <v>19.496078778533981</v>
      </c>
      <c r="O3" s="9">
        <v>20.338564914217368</v>
      </c>
      <c r="P3" s="9">
        <v>20.790050501331905</v>
      </c>
      <c r="Q3" s="9">
        <v>20.257098036643033</v>
      </c>
      <c r="R3" s="9">
        <v>19.798572843208454</v>
      </c>
      <c r="S3" s="9">
        <v>20.496547512219827</v>
      </c>
      <c r="T3" s="9">
        <v>20.947567940976001</v>
      </c>
      <c r="U3" s="9">
        <v>21.531827828117038</v>
      </c>
      <c r="V3" s="9">
        <v>21.369990563845022</v>
      </c>
      <c r="W3" s="9">
        <v>21.209891701953648</v>
      </c>
      <c r="X3" s="9">
        <v>21.484400398308789</v>
      </c>
      <c r="Y3" s="9">
        <v>21.941537777205294</v>
      </c>
      <c r="Z3" s="9">
        <v>22.89263740841929</v>
      </c>
      <c r="AA3" s="9">
        <v>24.442552092288281</v>
      </c>
      <c r="AB3" s="9">
        <v>25.732848546251525</v>
      </c>
      <c r="AC3" s="9">
        <v>27.147664931275603</v>
      </c>
      <c r="AD3" s="9">
        <v>28.290087398931995</v>
      </c>
      <c r="AE3" s="9">
        <v>29.649234801573694</v>
      </c>
      <c r="AF3" s="9">
        <v>30.495428529105268</v>
      </c>
      <c r="AG3" s="9">
        <v>30.486567679077986</v>
      </c>
      <c r="AH3" s="9">
        <v>29.098873971053393</v>
      </c>
      <c r="AI3" s="9">
        <v>28.634689299576923</v>
      </c>
      <c r="AJ3" s="9">
        <v>28.126419744677996</v>
      </c>
      <c r="AK3" s="9">
        <v>27.942819106377765</v>
      </c>
      <c r="AL3" s="9">
        <v>27.533748714905826</v>
      </c>
      <c r="AM3" s="9">
        <v>27.253872814912175</v>
      </c>
      <c r="AN3" s="9">
        <v>27.327692606101746</v>
      </c>
      <c r="AO3" s="9">
        <v>27.839509285302494</v>
      </c>
      <c r="AP3" s="9">
        <v>27.933572402786204</v>
      </c>
      <c r="AQ3" s="9">
        <v>28.457584355640009</v>
      </c>
      <c r="AR3" s="9">
        <v>28.123235216397067</v>
      </c>
      <c r="AS3" s="9">
        <v>28.384969815590445</v>
      </c>
      <c r="AT3" s="9">
        <v>27.714380174400336</v>
      </c>
      <c r="AU3" s="9">
        <v>28.641548878209864</v>
      </c>
      <c r="AV3" s="9">
        <v>29.319573864917025</v>
      </c>
      <c r="AW3" s="9">
        <v>29.343114146315756</v>
      </c>
      <c r="AX3" s="9">
        <v>30.959935688448819</v>
      </c>
      <c r="AY3" s="9">
        <v>29.495449266623723</v>
      </c>
      <c r="AZ3" s="9">
        <v>32.178996410386077</v>
      </c>
      <c r="BA3" s="9">
        <f>BA15</f>
        <v>32.667132992208003</v>
      </c>
      <c r="BB3" s="9">
        <f>BB15</f>
        <v>32.475197663251208</v>
      </c>
      <c r="BC3" s="9">
        <f>BC15</f>
        <v>32.328158598450003</v>
      </c>
      <c r="BD3" s="9">
        <f>BD15</f>
        <v>32.875096722541429</v>
      </c>
      <c r="BE3" s="9"/>
      <c r="BF3" s="9"/>
      <c r="BG3" s="9"/>
    </row>
    <row r="4" spans="1:61" s="12" customFormat="1" ht="15" x14ac:dyDescent="0.3">
      <c r="A4" s="8">
        <v>2</v>
      </c>
      <c r="B4" s="11" t="s">
        <v>3</v>
      </c>
      <c r="C4" s="11">
        <v>1698.0321428571431</v>
      </c>
      <c r="D4" s="11">
        <v>1672.43</v>
      </c>
      <c r="E4" s="11">
        <v>1646.8278571428575</v>
      </c>
      <c r="F4" s="11">
        <v>1621.2257142857147</v>
      </c>
      <c r="G4" s="11">
        <v>1595.6235714285719</v>
      </c>
      <c r="H4" s="11">
        <v>1570.0214285714292</v>
      </c>
      <c r="I4" s="11">
        <v>1544.4192857142866</v>
      </c>
      <c r="J4" s="11">
        <v>1518.8171428571438</v>
      </c>
      <c r="K4" s="11">
        <v>1493.2149999999999</v>
      </c>
      <c r="L4" s="11">
        <v>1467.6128571428583</v>
      </c>
      <c r="M4" s="11">
        <v>1442.0107142857155</v>
      </c>
      <c r="N4" s="11">
        <v>1416.4085714285727</v>
      </c>
      <c r="O4" s="11">
        <v>1390.8064285714297</v>
      </c>
      <c r="P4" s="11">
        <v>1365.2042857142869</v>
      </c>
      <c r="Q4" s="11">
        <v>1339.6021428571439</v>
      </c>
      <c r="R4" s="11">
        <v>1314</v>
      </c>
      <c r="S4" s="11">
        <v>1311.9722222222233</v>
      </c>
      <c r="T4" s="11">
        <v>1309.9444444444455</v>
      </c>
      <c r="U4" s="11">
        <v>1307.9166666666677</v>
      </c>
      <c r="V4" s="11">
        <v>1305.8888888888898</v>
      </c>
      <c r="W4" s="11">
        <v>1303.8611111111122</v>
      </c>
      <c r="X4" s="11">
        <v>1301.8333333333344</v>
      </c>
      <c r="Y4" s="11">
        <v>1299.8055555555566</v>
      </c>
      <c r="Z4" s="11">
        <v>1297.7777777777787</v>
      </c>
      <c r="AA4" s="11">
        <v>1295.75</v>
      </c>
      <c r="AB4" s="11">
        <v>1293.7222222222233</v>
      </c>
      <c r="AC4" s="11">
        <v>1291.6944444444455</v>
      </c>
      <c r="AD4" s="11">
        <v>1289.6666666666677</v>
      </c>
      <c r="AE4" s="11">
        <v>1287.6388888888901</v>
      </c>
      <c r="AF4" s="11">
        <v>1285.6111111111122</v>
      </c>
      <c r="AG4" s="11">
        <v>1283.5833333333344</v>
      </c>
      <c r="AH4" s="11">
        <v>1251.95</v>
      </c>
      <c r="AI4" s="11">
        <v>1220.3166666666675</v>
      </c>
      <c r="AJ4" s="11">
        <v>1188.6833333333343</v>
      </c>
      <c r="AK4" s="11">
        <v>1157.05</v>
      </c>
      <c r="AL4" s="11">
        <v>1125.4166666666674</v>
      </c>
      <c r="AM4" s="11">
        <v>1093.783333333334</v>
      </c>
      <c r="AN4" s="11">
        <v>1062.1500000000001</v>
      </c>
      <c r="AO4" s="11">
        <v>1030.5166666666671</v>
      </c>
      <c r="AP4" s="11">
        <v>998.88333333333367</v>
      </c>
      <c r="AQ4" s="11">
        <v>967.25</v>
      </c>
      <c r="AR4" s="11">
        <v>935.6166666666669</v>
      </c>
      <c r="AS4" s="11">
        <v>903.98333333333346</v>
      </c>
      <c r="AT4" s="11">
        <v>872.35</v>
      </c>
      <c r="AU4" s="11">
        <v>865.05</v>
      </c>
      <c r="AV4" s="11">
        <v>865.05</v>
      </c>
      <c r="AW4" s="11">
        <v>846.8</v>
      </c>
      <c r="AX4" s="11">
        <v>865.05</v>
      </c>
      <c r="AY4" s="11">
        <v>824.9</v>
      </c>
      <c r="AZ4" s="11">
        <v>854.1</v>
      </c>
      <c r="BA4" s="11">
        <f>BA29</f>
        <v>839.49999999999989</v>
      </c>
      <c r="BB4" s="11">
        <f>BB29</f>
        <v>832.2</v>
      </c>
      <c r="BC4" s="11">
        <f>BC29</f>
        <v>821.25</v>
      </c>
      <c r="BD4" s="11">
        <f>BD29</f>
        <v>843.15</v>
      </c>
      <c r="BE4" s="11"/>
      <c r="BF4" s="11"/>
      <c r="BG4" s="11"/>
    </row>
    <row r="5" spans="1:61" s="12" customFormat="1" ht="15" x14ac:dyDescent="0.3">
      <c r="A5" s="8">
        <v>3</v>
      </c>
      <c r="B5" s="11" t="s">
        <v>4</v>
      </c>
      <c r="C5" s="11">
        <v>4228.779248571429</v>
      </c>
      <c r="D5" s="11">
        <v>4249.3101440000009</v>
      </c>
      <c r="E5" s="11">
        <v>4298.879438285715</v>
      </c>
      <c r="F5" s="11">
        <v>4391.5762148571439</v>
      </c>
      <c r="G5" s="11">
        <v>4457.5340091428588</v>
      </c>
      <c r="H5" s="11">
        <v>4521.6617142857167</v>
      </c>
      <c r="I5" s="11">
        <v>4565.3034085714316</v>
      </c>
      <c r="J5" s="11">
        <v>4564.9568045714323</v>
      </c>
      <c r="K5" s="11">
        <v>4557.2921800000031</v>
      </c>
      <c r="L5" s="11">
        <v>4541.3812251428608</v>
      </c>
      <c r="M5" s="11">
        <v>4526.7600342857186</v>
      </c>
      <c r="N5" s="11">
        <v>4552.9037120000039</v>
      </c>
      <c r="O5" s="11">
        <v>4531.8036668571467</v>
      </c>
      <c r="P5" s="11">
        <v>4475.6857302857179</v>
      </c>
      <c r="Q5" s="11">
        <v>4414.2569811428612</v>
      </c>
      <c r="R5" s="11">
        <v>4350.9168000000036</v>
      </c>
      <c r="S5" s="11">
        <v>4356.7973555555591</v>
      </c>
      <c r="T5" s="11">
        <v>4369.9746666666697</v>
      </c>
      <c r="U5" s="11">
        <v>4377.8586666666706</v>
      </c>
      <c r="V5" s="11">
        <v>4378.3842666666706</v>
      </c>
      <c r="W5" s="11">
        <v>4398.7058444444492</v>
      </c>
      <c r="X5" s="11">
        <v>4438.7309333333369</v>
      </c>
      <c r="Y5" s="11">
        <v>4453.6537555555587</v>
      </c>
      <c r="Z5" s="11">
        <v>4477.8524444444474</v>
      </c>
      <c r="AA5" s="11">
        <v>4524.7590000000037</v>
      </c>
      <c r="AB5" s="11">
        <v>4567.3569333333371</v>
      </c>
      <c r="AC5" s="11">
        <v>4636.6663777777821</v>
      </c>
      <c r="AD5" s="11">
        <v>4710.8944000000038</v>
      </c>
      <c r="AE5" s="11">
        <v>4798.2575555555595</v>
      </c>
      <c r="AF5" s="11">
        <v>4861.6669777777824</v>
      </c>
      <c r="AG5" s="11">
        <v>4909.449533333338</v>
      </c>
      <c r="AH5" s="11">
        <v>4788.4583600000042</v>
      </c>
      <c r="AI5" s="11">
        <v>4686.0160000000042</v>
      </c>
      <c r="AJ5" s="11">
        <v>4629.2083733333366</v>
      </c>
      <c r="AK5" s="11">
        <v>4556.9257200000038</v>
      </c>
      <c r="AL5" s="11">
        <v>4476.4573333333365</v>
      </c>
      <c r="AM5" s="11">
        <v>4395.2589466666695</v>
      </c>
      <c r="AN5" s="11">
        <v>4308.0804000000026</v>
      </c>
      <c r="AO5" s="11">
        <v>4214.4009600000018</v>
      </c>
      <c r="AP5" s="11">
        <v>4120.993080000002</v>
      </c>
      <c r="AQ5" s="11">
        <v>4026.8552000000013</v>
      </c>
      <c r="AR5" s="11">
        <v>3933.3324666666676</v>
      </c>
      <c r="AS5" s="11">
        <v>3933.4122800000005</v>
      </c>
      <c r="AT5" s="11">
        <v>3834.8506000000002</v>
      </c>
      <c r="AU5" s="11">
        <v>3833.2095600000002</v>
      </c>
      <c r="AV5" s="11">
        <v>3858.8150400000004</v>
      </c>
      <c r="AW5" s="11">
        <v>3795.018880000001</v>
      </c>
      <c r="AX5" s="11">
        <v>3888.57276</v>
      </c>
      <c r="AY5" s="11">
        <v>3717.9892799999998</v>
      </c>
      <c r="AZ5" s="11">
        <v>3894.0127199999993</v>
      </c>
      <c r="BA5" s="11">
        <f>BA32</f>
        <v>3877.1468</v>
      </c>
      <c r="BB5" s="11">
        <f>BB32</f>
        <v>3880.0492800000006</v>
      </c>
      <c r="BC5" s="11">
        <f>BC32</f>
        <v>3866.4450000000002</v>
      </c>
      <c r="BD5" s="11">
        <f>BD32</f>
        <v>3999.1036192800007</v>
      </c>
      <c r="BE5" s="11"/>
      <c r="BF5" s="11"/>
      <c r="BG5" s="11"/>
    </row>
    <row r="6" spans="1:61" s="15" customFormat="1" ht="15" x14ac:dyDescent="0.3">
      <c r="A6" s="1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row>
    <row r="7" spans="1:61" s="15" customFormat="1" ht="15" x14ac:dyDescent="0.3">
      <c r="A7" s="125" t="s">
        <v>5</v>
      </c>
      <c r="B7" s="125"/>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row>
    <row r="8" spans="1:61" s="15" customFormat="1" ht="15" x14ac:dyDescent="0.3">
      <c r="A8" s="16">
        <v>1</v>
      </c>
      <c r="B8" s="15" t="s">
        <v>6</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row>
    <row r="9" spans="1:61" s="15" customFormat="1" ht="15" x14ac:dyDescent="0.3">
      <c r="A9" s="16">
        <v>2</v>
      </c>
      <c r="B9" s="15" t="s">
        <v>7</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row>
    <row r="10" spans="1:61" s="15" customFormat="1" ht="15" x14ac:dyDescent="0.3">
      <c r="A10" s="16">
        <v>3</v>
      </c>
      <c r="B10" s="15" t="s">
        <v>8</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row>
    <row r="11" spans="1:61" s="15" customFormat="1" ht="15" x14ac:dyDescent="0.3">
      <c r="A11" s="16">
        <v>4</v>
      </c>
      <c r="B11" s="15" t="s">
        <v>9</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row>
    <row r="12" spans="1:61" s="15" customFormat="1" ht="15" x14ac:dyDescent="0.3">
      <c r="A12" s="13"/>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row>
    <row r="13" spans="1:61" s="15" customFormat="1" ht="15" x14ac:dyDescent="0.3">
      <c r="A13" s="13"/>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row>
    <row r="14" spans="1:61" s="15" customFormat="1" ht="15" x14ac:dyDescent="0.3">
      <c r="A14" s="125" t="s">
        <v>10</v>
      </c>
      <c r="B14" s="125"/>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row>
    <row r="15" spans="1:61" s="18" customFormat="1" ht="12.75" customHeight="1" x14ac:dyDescent="0.3">
      <c r="A15" s="17">
        <v>1</v>
      </c>
      <c r="B15" s="18" t="s">
        <v>11</v>
      </c>
      <c r="C15" s="18">
        <f>C34*C32/1000</f>
        <v>11.918824491170243</v>
      </c>
      <c r="D15" s="18">
        <f t="shared" ref="D15:BB15" si="0">D34*D32/1000</f>
        <v>12.351176145495065</v>
      </c>
      <c r="E15" s="18">
        <f t="shared" si="0"/>
        <v>13.018251585721478</v>
      </c>
      <c r="F15" s="18">
        <f t="shared" si="0"/>
        <v>13.543086630543284</v>
      </c>
      <c r="G15" s="18">
        <f t="shared" si="0"/>
        <v>14.365799738886935</v>
      </c>
      <c r="H15" s="18">
        <f t="shared" si="0"/>
        <v>15.192557276914291</v>
      </c>
      <c r="I15" s="18">
        <f t="shared" si="0"/>
        <v>16.039091829533444</v>
      </c>
      <c r="J15" s="18">
        <f t="shared" si="0"/>
        <v>16.683871725099035</v>
      </c>
      <c r="K15" s="18">
        <f t="shared" si="0"/>
        <v>17.441587110767792</v>
      </c>
      <c r="L15" s="18">
        <f t="shared" si="0"/>
        <v>18.44100050718437</v>
      </c>
      <c r="M15" s="18">
        <f t="shared" si="0"/>
        <v>18.886747427489105</v>
      </c>
      <c r="N15" s="18">
        <f t="shared" si="0"/>
        <v>19.496078778533981</v>
      </c>
      <c r="O15" s="18">
        <f t="shared" si="0"/>
        <v>20.338564914217368</v>
      </c>
      <c r="P15" s="18">
        <f t="shared" si="0"/>
        <v>20.790050501331905</v>
      </c>
      <c r="Q15" s="18">
        <f t="shared" si="0"/>
        <v>20.257098036643033</v>
      </c>
      <c r="R15" s="18">
        <f t="shared" si="0"/>
        <v>19.798572843208454</v>
      </c>
      <c r="S15" s="18">
        <f t="shared" si="0"/>
        <v>20.496547512219827</v>
      </c>
      <c r="T15" s="18">
        <f t="shared" si="0"/>
        <v>20.947567940976001</v>
      </c>
      <c r="U15" s="18">
        <f t="shared" si="0"/>
        <v>21.531827828117038</v>
      </c>
      <c r="V15" s="18">
        <f t="shared" si="0"/>
        <v>21.369990563845022</v>
      </c>
      <c r="W15" s="18">
        <f t="shared" si="0"/>
        <v>21.209891701953648</v>
      </c>
      <c r="X15" s="18">
        <f t="shared" si="0"/>
        <v>21.484400398308789</v>
      </c>
      <c r="Y15" s="18">
        <f t="shared" si="0"/>
        <v>21.941537777205294</v>
      </c>
      <c r="Z15" s="18">
        <f t="shared" si="0"/>
        <v>22.89263740841929</v>
      </c>
      <c r="AA15" s="18">
        <f t="shared" si="0"/>
        <v>24.442552092288281</v>
      </c>
      <c r="AB15" s="18">
        <f t="shared" si="0"/>
        <v>25.732848546251525</v>
      </c>
      <c r="AC15" s="18">
        <f t="shared" si="0"/>
        <v>27.147664931275603</v>
      </c>
      <c r="AD15" s="18">
        <f t="shared" si="0"/>
        <v>28.290087398931995</v>
      </c>
      <c r="AE15" s="18">
        <f t="shared" si="0"/>
        <v>29.649234801573694</v>
      </c>
      <c r="AF15" s="18">
        <f t="shared" si="0"/>
        <v>30.495428529105268</v>
      </c>
      <c r="AG15" s="18">
        <f t="shared" si="0"/>
        <v>30.486567679077986</v>
      </c>
      <c r="AH15" s="18">
        <f t="shared" si="0"/>
        <v>29.098873971053393</v>
      </c>
      <c r="AI15" s="18">
        <f t="shared" si="0"/>
        <v>28.634689299576923</v>
      </c>
      <c r="AJ15" s="18">
        <f t="shared" si="0"/>
        <v>28.126419744677996</v>
      </c>
      <c r="AK15" s="18">
        <f t="shared" si="0"/>
        <v>27.942819106377765</v>
      </c>
      <c r="AL15" s="18">
        <f t="shared" si="0"/>
        <v>27.533748714905826</v>
      </c>
      <c r="AM15" s="18">
        <f t="shared" si="0"/>
        <v>27.253872814912175</v>
      </c>
      <c r="AN15" s="18">
        <f t="shared" si="0"/>
        <v>27.327692606101746</v>
      </c>
      <c r="AO15" s="18">
        <f t="shared" si="0"/>
        <v>27.839509285302494</v>
      </c>
      <c r="AP15" s="18">
        <f t="shared" si="0"/>
        <v>27.933572402786204</v>
      </c>
      <c r="AQ15" s="18">
        <f t="shared" si="0"/>
        <v>28.457584355640009</v>
      </c>
      <c r="AR15" s="18">
        <f t="shared" si="0"/>
        <v>28.123235216397067</v>
      </c>
      <c r="AS15" s="18">
        <f t="shared" si="0"/>
        <v>28.384969815590445</v>
      </c>
      <c r="AT15" s="18">
        <f t="shared" si="0"/>
        <v>27.714380174400336</v>
      </c>
      <c r="AU15" s="18">
        <f t="shared" si="0"/>
        <v>28.641548878209864</v>
      </c>
      <c r="AV15" s="18">
        <f t="shared" si="0"/>
        <v>29.319573864917025</v>
      </c>
      <c r="AW15" s="18">
        <f t="shared" si="0"/>
        <v>29.343114146315756</v>
      </c>
      <c r="AX15" s="18">
        <f t="shared" si="0"/>
        <v>30.959935688448819</v>
      </c>
      <c r="AY15" s="18">
        <f t="shared" si="0"/>
        <v>29.495449266623723</v>
      </c>
      <c r="AZ15" s="18">
        <f t="shared" si="0"/>
        <v>32.178996410386077</v>
      </c>
      <c r="BA15" s="18">
        <f t="shared" si="0"/>
        <v>32.667132992208003</v>
      </c>
      <c r="BB15" s="18">
        <f t="shared" si="0"/>
        <v>32.475197663251208</v>
      </c>
      <c r="BC15" s="18">
        <f>BC34*BC32/1000</f>
        <v>32.328158598450003</v>
      </c>
      <c r="BD15" s="18">
        <f>BD34*BD32/1000</f>
        <v>32.875096722541429</v>
      </c>
      <c r="BH15" s="19"/>
      <c r="BI15" s="19"/>
    </row>
    <row r="16" spans="1:61" s="22" customFormat="1" x14ac:dyDescent="0.3">
      <c r="A16" s="20">
        <v>2</v>
      </c>
      <c r="B16" s="21" t="s">
        <v>12</v>
      </c>
      <c r="C16" s="21"/>
      <c r="D16" s="21"/>
      <c r="E16" s="21"/>
      <c r="F16" s="21"/>
      <c r="G16" s="21"/>
      <c r="H16" s="21">
        <v>17.79</v>
      </c>
      <c r="I16" s="21"/>
      <c r="J16" s="21"/>
      <c r="K16" s="21"/>
      <c r="L16" s="21"/>
      <c r="M16" s="21"/>
      <c r="N16" s="21"/>
      <c r="O16" s="21"/>
      <c r="P16" s="21"/>
      <c r="Q16" s="21"/>
      <c r="R16" s="21">
        <v>14.05</v>
      </c>
      <c r="S16" s="21"/>
      <c r="T16" s="21"/>
      <c r="U16" s="21"/>
      <c r="V16" s="21"/>
      <c r="W16" s="21"/>
      <c r="X16" s="21"/>
      <c r="Y16" s="21"/>
      <c r="Z16" s="21"/>
      <c r="AA16" s="21">
        <v>13.89</v>
      </c>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row>
    <row r="17" spans="1:59" s="21" customFormat="1" ht="13.5" x14ac:dyDescent="0.25">
      <c r="A17" s="20">
        <v>3</v>
      </c>
      <c r="B17" s="21" t="s">
        <v>13</v>
      </c>
      <c r="H17" s="21">
        <v>3.71</v>
      </c>
      <c r="R17" s="21">
        <v>2.54</v>
      </c>
      <c r="AA17" s="21">
        <v>2.35</v>
      </c>
    </row>
    <row r="18" spans="1:59" s="21" customFormat="1" ht="13.5" x14ac:dyDescent="0.25">
      <c r="A18" s="20">
        <v>4</v>
      </c>
      <c r="B18" s="21" t="s">
        <v>14</v>
      </c>
      <c r="H18" s="21">
        <f>SUM(H16:H17)</f>
        <v>21.5</v>
      </c>
      <c r="R18" s="21">
        <f>SUM(R16:R17)</f>
        <v>16.59</v>
      </c>
      <c r="AA18" s="21">
        <f>SUM(AA16:AA17)</f>
        <v>16.240000000000002</v>
      </c>
    </row>
    <row r="19" spans="1:59" s="21" customFormat="1" ht="13.5" x14ac:dyDescent="0.25">
      <c r="A19" s="20">
        <v>5</v>
      </c>
      <c r="B19" s="21" t="s">
        <v>15</v>
      </c>
      <c r="H19" s="21">
        <f>H18/7</f>
        <v>3.0714285714285716</v>
      </c>
      <c r="R19" s="21">
        <f>R18/7</f>
        <v>2.37</v>
      </c>
      <c r="AA19" s="21">
        <f>AA18/7</f>
        <v>2.3200000000000003</v>
      </c>
    </row>
    <row r="20" spans="1:59" s="21" customFormat="1" ht="13.5" x14ac:dyDescent="0.25">
      <c r="A20" s="20">
        <v>6</v>
      </c>
      <c r="B20" s="21" t="s">
        <v>16</v>
      </c>
      <c r="AO20" s="21">
        <v>1.97</v>
      </c>
      <c r="AR20" s="21">
        <v>1.79</v>
      </c>
    </row>
    <row r="21" spans="1:59" s="21" customFormat="1" ht="13.5" x14ac:dyDescent="0.25">
      <c r="A21" s="20">
        <v>7</v>
      </c>
      <c r="B21" s="21" t="s">
        <v>17</v>
      </c>
      <c r="AO21" s="21">
        <v>0.65</v>
      </c>
      <c r="AR21" s="21">
        <v>0.56999999999999995</v>
      </c>
    </row>
    <row r="22" spans="1:59" s="21" customFormat="1" ht="13.5" x14ac:dyDescent="0.25">
      <c r="A22" s="20">
        <v>8</v>
      </c>
      <c r="B22" s="21" t="s">
        <v>18</v>
      </c>
      <c r="AO22" s="21">
        <f>SUM(AO21+AO20)</f>
        <v>2.62</v>
      </c>
      <c r="AR22" s="21">
        <f>SUM(AR21+AR20)</f>
        <v>2.36</v>
      </c>
    </row>
    <row r="23" spans="1:59" s="24" customFormat="1" x14ac:dyDescent="0.3">
      <c r="A23" s="20">
        <v>9</v>
      </c>
      <c r="B23" s="23" t="s">
        <v>19</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v>1.83</v>
      </c>
      <c r="AU23" s="23">
        <v>1.81</v>
      </c>
      <c r="AV23" s="23">
        <v>1.83</v>
      </c>
      <c r="AW23" s="23">
        <v>1.79</v>
      </c>
      <c r="AX23" s="23">
        <v>1.84</v>
      </c>
      <c r="AY23" s="23">
        <v>1.73</v>
      </c>
      <c r="AZ23" s="23">
        <v>1.8</v>
      </c>
      <c r="BA23" s="23">
        <v>1.79</v>
      </c>
      <c r="BB23" s="23">
        <v>1.77</v>
      </c>
      <c r="BC23" s="23">
        <v>1.74</v>
      </c>
      <c r="BD23" s="23">
        <v>1.78</v>
      </c>
      <c r="BE23" s="23"/>
      <c r="BF23" s="23"/>
      <c r="BG23" s="23"/>
    </row>
    <row r="24" spans="1:59" s="22" customFormat="1" x14ac:dyDescent="0.3">
      <c r="A24" s="20">
        <v>10</v>
      </c>
      <c r="B24" s="21" t="s">
        <v>20</v>
      </c>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v>0.56000000000000005</v>
      </c>
      <c r="AU24" s="21">
        <v>0.56000000000000005</v>
      </c>
      <c r="AV24" s="21">
        <v>0.54</v>
      </c>
      <c r="AW24" s="21">
        <v>0.53</v>
      </c>
      <c r="AX24" s="21">
        <v>0.53</v>
      </c>
      <c r="AY24" s="21">
        <v>0.53</v>
      </c>
      <c r="AZ24" s="21">
        <v>0.54</v>
      </c>
      <c r="BA24" s="21">
        <v>0.51</v>
      </c>
      <c r="BB24" s="21">
        <v>0.51</v>
      </c>
      <c r="BC24" s="21">
        <v>0.51</v>
      </c>
      <c r="BD24" s="21">
        <v>0.53</v>
      </c>
      <c r="BE24" s="21"/>
      <c r="BF24" s="21"/>
      <c r="BG24" s="21"/>
    </row>
    <row r="25" spans="1:59" s="22" customFormat="1" x14ac:dyDescent="0.3">
      <c r="A25" s="20">
        <v>11</v>
      </c>
      <c r="B25" s="21" t="s">
        <v>21</v>
      </c>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f t="shared" ref="AT25:BB25" si="1">SUM(AT23+AT24)</f>
        <v>2.39</v>
      </c>
      <c r="AU25" s="21">
        <f t="shared" si="1"/>
        <v>2.37</v>
      </c>
      <c r="AV25" s="21">
        <f t="shared" si="1"/>
        <v>2.37</v>
      </c>
      <c r="AW25" s="21">
        <f t="shared" si="1"/>
        <v>2.3200000000000003</v>
      </c>
      <c r="AX25" s="21">
        <f t="shared" si="1"/>
        <v>2.37</v>
      </c>
      <c r="AY25" s="21">
        <f t="shared" si="1"/>
        <v>2.2599999999999998</v>
      </c>
      <c r="AZ25" s="21">
        <f t="shared" si="1"/>
        <v>2.34</v>
      </c>
      <c r="BA25" s="21">
        <f t="shared" si="1"/>
        <v>2.2999999999999998</v>
      </c>
      <c r="BB25" s="21">
        <f t="shared" si="1"/>
        <v>2.2800000000000002</v>
      </c>
      <c r="BC25" s="21">
        <f>SUM(BC23+BC24)</f>
        <v>2.25</v>
      </c>
      <c r="BD25" s="21">
        <f>SUM(BD23+BD24)</f>
        <v>2.31</v>
      </c>
      <c r="BE25" s="21"/>
      <c r="BF25" s="21"/>
      <c r="BG25" s="21"/>
    </row>
    <row r="26" spans="1:59" s="22" customFormat="1" x14ac:dyDescent="0.3">
      <c r="A26" s="20">
        <v>12</v>
      </c>
      <c r="B26" s="21" t="s">
        <v>22</v>
      </c>
      <c r="C26" s="21">
        <f t="shared" ref="C26:Q26" si="2">($H19-$R19)/10</f>
        <v>7.0142857142857146E-2</v>
      </c>
      <c r="D26" s="21">
        <f t="shared" si="2"/>
        <v>7.0142857142857146E-2</v>
      </c>
      <c r="E26" s="21">
        <f t="shared" si="2"/>
        <v>7.0142857142857146E-2</v>
      </c>
      <c r="F26" s="21">
        <f t="shared" si="2"/>
        <v>7.0142857142857146E-2</v>
      </c>
      <c r="G26" s="21">
        <f t="shared" si="2"/>
        <v>7.0142857142857146E-2</v>
      </c>
      <c r="H26" s="21">
        <f t="shared" si="2"/>
        <v>7.0142857142857146E-2</v>
      </c>
      <c r="I26" s="21">
        <f t="shared" si="2"/>
        <v>7.0142857142857146E-2</v>
      </c>
      <c r="J26" s="21">
        <f t="shared" si="2"/>
        <v>7.0142857142857146E-2</v>
      </c>
      <c r="K26" s="21">
        <f t="shared" si="2"/>
        <v>7.0142857142857146E-2</v>
      </c>
      <c r="L26" s="21">
        <f t="shared" si="2"/>
        <v>7.0142857142857146E-2</v>
      </c>
      <c r="M26" s="21">
        <f t="shared" si="2"/>
        <v>7.0142857142857146E-2</v>
      </c>
      <c r="N26" s="21">
        <f t="shared" si="2"/>
        <v>7.0142857142857146E-2</v>
      </c>
      <c r="O26" s="21">
        <f t="shared" si="2"/>
        <v>7.0142857142857146E-2</v>
      </c>
      <c r="P26" s="21">
        <f t="shared" si="2"/>
        <v>7.0142857142857146E-2</v>
      </c>
      <c r="Q26" s="21">
        <f t="shared" si="2"/>
        <v>7.0142857142857146E-2</v>
      </c>
      <c r="R26" s="21">
        <f t="shared" ref="R26:AF26" si="3">($R19-$AA19)/9</f>
        <v>5.5555555555555358E-3</v>
      </c>
      <c r="S26" s="21">
        <f t="shared" si="3"/>
        <v>5.5555555555555358E-3</v>
      </c>
      <c r="T26" s="21">
        <f t="shared" si="3"/>
        <v>5.5555555555555358E-3</v>
      </c>
      <c r="U26" s="21">
        <f t="shared" si="3"/>
        <v>5.5555555555555358E-3</v>
      </c>
      <c r="V26" s="21">
        <f t="shared" si="3"/>
        <v>5.5555555555555358E-3</v>
      </c>
      <c r="W26" s="21">
        <f t="shared" si="3"/>
        <v>5.5555555555555358E-3</v>
      </c>
      <c r="X26" s="21">
        <f t="shared" si="3"/>
        <v>5.5555555555555358E-3</v>
      </c>
      <c r="Y26" s="21">
        <f t="shared" si="3"/>
        <v>5.5555555555555358E-3</v>
      </c>
      <c r="Z26" s="21">
        <f t="shared" si="3"/>
        <v>5.5555555555555358E-3</v>
      </c>
      <c r="AA26" s="21">
        <f t="shared" si="3"/>
        <v>5.5555555555555358E-3</v>
      </c>
      <c r="AB26" s="21">
        <f t="shared" si="3"/>
        <v>5.5555555555555358E-3</v>
      </c>
      <c r="AC26" s="21">
        <f t="shared" si="3"/>
        <v>5.5555555555555358E-3</v>
      </c>
      <c r="AD26" s="21">
        <f t="shared" si="3"/>
        <v>5.5555555555555358E-3</v>
      </c>
      <c r="AE26" s="21">
        <f t="shared" si="3"/>
        <v>5.5555555555555358E-3</v>
      </c>
      <c r="AF26" s="21">
        <f t="shared" si="3"/>
        <v>5.5555555555555358E-3</v>
      </c>
      <c r="AG26" s="21">
        <f t="shared" ref="AG26:AS26" si="4">($AO22-$AR22)/3</f>
        <v>8.6666666666666739E-2</v>
      </c>
      <c r="AH26" s="21">
        <f t="shared" si="4"/>
        <v>8.6666666666666739E-2</v>
      </c>
      <c r="AI26" s="21">
        <f t="shared" si="4"/>
        <v>8.6666666666666739E-2</v>
      </c>
      <c r="AJ26" s="21">
        <f t="shared" si="4"/>
        <v>8.6666666666666739E-2</v>
      </c>
      <c r="AK26" s="21">
        <f t="shared" si="4"/>
        <v>8.6666666666666739E-2</v>
      </c>
      <c r="AL26" s="21">
        <f t="shared" si="4"/>
        <v>8.6666666666666739E-2</v>
      </c>
      <c r="AM26" s="21">
        <f t="shared" si="4"/>
        <v>8.6666666666666739E-2</v>
      </c>
      <c r="AN26" s="21">
        <f t="shared" si="4"/>
        <v>8.6666666666666739E-2</v>
      </c>
      <c r="AO26" s="21">
        <f t="shared" si="4"/>
        <v>8.6666666666666739E-2</v>
      </c>
      <c r="AP26" s="21">
        <f t="shared" si="4"/>
        <v>8.6666666666666739E-2</v>
      </c>
      <c r="AQ26" s="21">
        <f t="shared" si="4"/>
        <v>8.6666666666666739E-2</v>
      </c>
      <c r="AR26" s="21">
        <f t="shared" si="4"/>
        <v>8.6666666666666739E-2</v>
      </c>
      <c r="AS26" s="21">
        <f t="shared" si="4"/>
        <v>8.6666666666666739E-2</v>
      </c>
      <c r="AT26" s="21"/>
      <c r="AU26" s="21"/>
      <c r="AV26" s="21"/>
      <c r="AW26" s="21"/>
      <c r="AX26" s="21"/>
      <c r="AY26" s="21"/>
      <c r="AZ26" s="21"/>
      <c r="BA26" s="21"/>
      <c r="BB26" s="21"/>
      <c r="BC26" s="21"/>
      <c r="BD26" s="21"/>
      <c r="BE26" s="21"/>
      <c r="BF26" s="21"/>
      <c r="BG26" s="21"/>
    </row>
    <row r="27" spans="1:59" s="22" customFormat="1" x14ac:dyDescent="0.3">
      <c r="A27" s="20">
        <v>13</v>
      </c>
      <c r="B27" s="21" t="s">
        <v>23</v>
      </c>
      <c r="C27" s="21">
        <f t="shared" ref="C27:AQ27" si="5">D27+C26</f>
        <v>4.6521428571428576</v>
      </c>
      <c r="D27" s="21">
        <f t="shared" si="5"/>
        <v>4.5820000000000007</v>
      </c>
      <c r="E27" s="21">
        <f t="shared" si="5"/>
        <v>4.5118571428571439</v>
      </c>
      <c r="F27" s="21">
        <f t="shared" si="5"/>
        <v>4.4417142857142871</v>
      </c>
      <c r="G27" s="21">
        <f t="shared" si="5"/>
        <v>4.3715714285714302</v>
      </c>
      <c r="H27" s="21">
        <f t="shared" si="5"/>
        <v>4.3014285714285734</v>
      </c>
      <c r="I27" s="21">
        <f t="shared" si="5"/>
        <v>4.2312857142857165</v>
      </c>
      <c r="J27" s="21">
        <f t="shared" si="5"/>
        <v>4.1611428571428597</v>
      </c>
      <c r="K27" s="21">
        <f t="shared" si="5"/>
        <v>4.0910000000000029</v>
      </c>
      <c r="L27" s="21">
        <f t="shared" si="5"/>
        <v>4.020857142857146</v>
      </c>
      <c r="M27" s="21">
        <f t="shared" si="5"/>
        <v>3.9507142857142892</v>
      </c>
      <c r="N27" s="21">
        <f t="shared" si="5"/>
        <v>3.8805714285714319</v>
      </c>
      <c r="O27" s="21">
        <f t="shared" si="5"/>
        <v>3.8104285714285746</v>
      </c>
      <c r="P27" s="21">
        <f t="shared" si="5"/>
        <v>3.7402857142857173</v>
      </c>
      <c r="Q27" s="21">
        <f t="shared" si="5"/>
        <v>3.67014285714286</v>
      </c>
      <c r="R27" s="21">
        <f t="shared" si="5"/>
        <v>3.6000000000000028</v>
      </c>
      <c r="S27" s="21">
        <f t="shared" si="5"/>
        <v>3.5944444444444472</v>
      </c>
      <c r="T27" s="21">
        <f t="shared" si="5"/>
        <v>3.5888888888888917</v>
      </c>
      <c r="U27" s="21">
        <f t="shared" si="5"/>
        <v>3.5833333333333361</v>
      </c>
      <c r="V27" s="21">
        <f t="shared" si="5"/>
        <v>3.5777777777777806</v>
      </c>
      <c r="W27" s="21">
        <f t="shared" si="5"/>
        <v>3.5722222222222251</v>
      </c>
      <c r="X27" s="21">
        <f t="shared" si="5"/>
        <v>3.5666666666666695</v>
      </c>
      <c r="Y27" s="21">
        <f t="shared" si="5"/>
        <v>3.561111111111114</v>
      </c>
      <c r="Z27" s="21">
        <f t="shared" si="5"/>
        <v>3.5555555555555585</v>
      </c>
      <c r="AA27" s="21">
        <f t="shared" si="5"/>
        <v>3.5500000000000029</v>
      </c>
      <c r="AB27" s="21">
        <f t="shared" si="5"/>
        <v>3.5444444444444474</v>
      </c>
      <c r="AC27" s="21">
        <f t="shared" si="5"/>
        <v>3.5388888888888919</v>
      </c>
      <c r="AD27" s="21">
        <f t="shared" si="5"/>
        <v>3.5333333333333363</v>
      </c>
      <c r="AE27" s="21">
        <f t="shared" si="5"/>
        <v>3.5277777777777808</v>
      </c>
      <c r="AF27" s="21">
        <f t="shared" si="5"/>
        <v>3.5222222222222253</v>
      </c>
      <c r="AG27" s="21">
        <f t="shared" si="5"/>
        <v>3.5166666666666697</v>
      </c>
      <c r="AH27" s="21">
        <f t="shared" si="5"/>
        <v>3.4300000000000028</v>
      </c>
      <c r="AI27" s="21">
        <f t="shared" si="5"/>
        <v>3.3433333333333359</v>
      </c>
      <c r="AJ27" s="21">
        <f t="shared" si="5"/>
        <v>3.256666666666669</v>
      </c>
      <c r="AK27" s="21">
        <f t="shared" si="5"/>
        <v>3.1700000000000021</v>
      </c>
      <c r="AL27" s="21">
        <f t="shared" si="5"/>
        <v>3.0833333333333353</v>
      </c>
      <c r="AM27" s="21">
        <f t="shared" si="5"/>
        <v>2.9966666666666684</v>
      </c>
      <c r="AN27" s="21">
        <f t="shared" si="5"/>
        <v>2.9100000000000015</v>
      </c>
      <c r="AO27" s="21">
        <f t="shared" si="5"/>
        <v>2.8233333333333346</v>
      </c>
      <c r="AP27" s="21">
        <f t="shared" si="5"/>
        <v>2.7366666666666677</v>
      </c>
      <c r="AQ27" s="21">
        <f t="shared" si="5"/>
        <v>2.6500000000000008</v>
      </c>
      <c r="AR27" s="21">
        <f>AS27+AR26</f>
        <v>2.5633333333333339</v>
      </c>
      <c r="AS27" s="21">
        <f>AT25+AS26</f>
        <v>2.476666666666667</v>
      </c>
      <c r="AT27" s="21"/>
      <c r="AU27" s="21"/>
      <c r="AV27" s="21"/>
      <c r="AW27" s="21"/>
      <c r="AX27" s="21"/>
      <c r="AY27" s="21"/>
      <c r="AZ27" s="21"/>
      <c r="BA27" s="21"/>
      <c r="BB27" s="21"/>
      <c r="BC27" s="21"/>
      <c r="BD27" s="21"/>
      <c r="BE27" s="21"/>
      <c r="BF27" s="21"/>
      <c r="BG27" s="21"/>
    </row>
    <row r="28" spans="1:59" s="22" customFormat="1" x14ac:dyDescent="0.3">
      <c r="A28" s="20">
        <v>14</v>
      </c>
      <c r="B28" s="21" t="s">
        <v>24</v>
      </c>
      <c r="C28" s="21">
        <v>4.6521428571428576</v>
      </c>
      <c r="D28" s="21">
        <v>4.5820000000000007</v>
      </c>
      <c r="E28" s="21">
        <v>4.5118571428571439</v>
      </c>
      <c r="F28" s="21">
        <v>4.4417142857142871</v>
      </c>
      <c r="G28" s="21">
        <v>4.3715714285714302</v>
      </c>
      <c r="H28" s="21">
        <v>4.3014285714285734</v>
      </c>
      <c r="I28" s="21">
        <v>4.2312857142857165</v>
      </c>
      <c r="J28" s="21">
        <v>4.1611428571428597</v>
      </c>
      <c r="K28" s="21">
        <v>4.0910000000000029</v>
      </c>
      <c r="L28" s="21">
        <v>4.020857142857146</v>
      </c>
      <c r="M28" s="21">
        <v>3.9507142857142892</v>
      </c>
      <c r="N28" s="21">
        <v>3.8805714285714319</v>
      </c>
      <c r="O28" s="21">
        <v>3.8104285714285746</v>
      </c>
      <c r="P28" s="21">
        <v>3.7402857142857173</v>
      </c>
      <c r="Q28" s="21">
        <v>3.67014285714286</v>
      </c>
      <c r="R28" s="21">
        <v>3.6000000000000028</v>
      </c>
      <c r="S28" s="21">
        <v>3.5944444444444472</v>
      </c>
      <c r="T28" s="21">
        <v>3.5888888888888917</v>
      </c>
      <c r="U28" s="21">
        <v>3.5833333333333361</v>
      </c>
      <c r="V28" s="21">
        <v>3.5777777777777806</v>
      </c>
      <c r="W28" s="21">
        <v>3.5722222222222251</v>
      </c>
      <c r="X28" s="21">
        <v>3.5666666666666695</v>
      </c>
      <c r="Y28" s="21">
        <v>3.561111111111114</v>
      </c>
      <c r="Z28" s="21">
        <v>3.5555555555555585</v>
      </c>
      <c r="AA28" s="21">
        <v>3.5500000000000029</v>
      </c>
      <c r="AB28" s="21">
        <v>3.5444444444444474</v>
      </c>
      <c r="AC28" s="21">
        <v>3.5388888888888919</v>
      </c>
      <c r="AD28" s="21">
        <v>3.5333333333333363</v>
      </c>
      <c r="AE28" s="21">
        <v>3.5277777777777808</v>
      </c>
      <c r="AF28" s="21">
        <v>3.5222222222222253</v>
      </c>
      <c r="AG28" s="21">
        <v>3.5166666666666697</v>
      </c>
      <c r="AH28" s="21">
        <v>3.4300000000000028</v>
      </c>
      <c r="AI28" s="21">
        <v>3.3433333333333359</v>
      </c>
      <c r="AJ28" s="21">
        <v>3.256666666666669</v>
      </c>
      <c r="AK28" s="21">
        <v>3.1700000000000021</v>
      </c>
      <c r="AL28" s="21">
        <v>3.0833333333333353</v>
      </c>
      <c r="AM28" s="21">
        <v>2.9966666666666684</v>
      </c>
      <c r="AN28" s="21">
        <v>2.9100000000000015</v>
      </c>
      <c r="AO28" s="21">
        <v>2.8233333333333346</v>
      </c>
      <c r="AP28" s="21">
        <v>2.7366666666666677</v>
      </c>
      <c r="AQ28" s="21">
        <v>2.6500000000000008</v>
      </c>
      <c r="AR28" s="21">
        <v>2.5633333333333339</v>
      </c>
      <c r="AS28" s="21">
        <v>2.476666666666667</v>
      </c>
      <c r="AT28" s="21">
        <v>2.39</v>
      </c>
      <c r="AU28" s="21">
        <v>2.37</v>
      </c>
      <c r="AV28" s="21">
        <v>2.37</v>
      </c>
      <c r="AW28" s="21">
        <v>2.3200000000000003</v>
      </c>
      <c r="AX28" s="21">
        <v>2.37</v>
      </c>
      <c r="AY28" s="21">
        <v>2.2599999999999998</v>
      </c>
      <c r="AZ28" s="21">
        <v>2.34</v>
      </c>
      <c r="BA28" s="21">
        <v>2.2999999999999998</v>
      </c>
      <c r="BB28" s="21">
        <f>BB25</f>
        <v>2.2800000000000002</v>
      </c>
      <c r="BC28" s="21">
        <f>BC25</f>
        <v>2.25</v>
      </c>
      <c r="BD28" s="21">
        <f>BD25</f>
        <v>2.31</v>
      </c>
      <c r="BE28" s="21"/>
      <c r="BF28" s="21"/>
      <c r="BG28" s="21"/>
    </row>
    <row r="29" spans="1:59" s="25" customFormat="1" ht="15" x14ac:dyDescent="0.3">
      <c r="A29" s="17">
        <v>15</v>
      </c>
      <c r="B29" s="18" t="s">
        <v>25</v>
      </c>
      <c r="C29" s="18">
        <f>C28*365</f>
        <v>1698.0321428571431</v>
      </c>
      <c r="D29" s="18">
        <f t="shared" ref="D29:BB29" si="6">D28*365</f>
        <v>1672.4300000000003</v>
      </c>
      <c r="E29" s="18">
        <f t="shared" si="6"/>
        <v>1646.8278571428575</v>
      </c>
      <c r="F29" s="18">
        <f t="shared" si="6"/>
        <v>1621.2257142857147</v>
      </c>
      <c r="G29" s="18">
        <f t="shared" si="6"/>
        <v>1595.6235714285719</v>
      </c>
      <c r="H29" s="18">
        <f t="shared" si="6"/>
        <v>1570.0214285714292</v>
      </c>
      <c r="I29" s="18">
        <f t="shared" si="6"/>
        <v>1544.4192857142866</v>
      </c>
      <c r="J29" s="18">
        <f t="shared" si="6"/>
        <v>1518.8171428571438</v>
      </c>
      <c r="K29" s="18">
        <f t="shared" si="6"/>
        <v>1493.2150000000011</v>
      </c>
      <c r="L29" s="18">
        <f t="shared" si="6"/>
        <v>1467.6128571428583</v>
      </c>
      <c r="M29" s="18">
        <f t="shared" si="6"/>
        <v>1442.0107142857155</v>
      </c>
      <c r="N29" s="18">
        <f t="shared" si="6"/>
        <v>1416.4085714285727</v>
      </c>
      <c r="O29" s="18">
        <f t="shared" si="6"/>
        <v>1390.8064285714297</v>
      </c>
      <c r="P29" s="18">
        <f t="shared" si="6"/>
        <v>1365.2042857142869</v>
      </c>
      <c r="Q29" s="18">
        <f t="shared" si="6"/>
        <v>1339.6021428571439</v>
      </c>
      <c r="R29" s="18">
        <f t="shared" si="6"/>
        <v>1314.0000000000009</v>
      </c>
      <c r="S29" s="18">
        <f t="shared" si="6"/>
        <v>1311.9722222222233</v>
      </c>
      <c r="T29" s="18">
        <f t="shared" si="6"/>
        <v>1309.9444444444455</v>
      </c>
      <c r="U29" s="18">
        <f t="shared" si="6"/>
        <v>1307.9166666666677</v>
      </c>
      <c r="V29" s="18">
        <f t="shared" si="6"/>
        <v>1305.8888888888898</v>
      </c>
      <c r="W29" s="18">
        <f t="shared" si="6"/>
        <v>1303.8611111111122</v>
      </c>
      <c r="X29" s="18">
        <f t="shared" si="6"/>
        <v>1301.8333333333344</v>
      </c>
      <c r="Y29" s="18">
        <f t="shared" si="6"/>
        <v>1299.8055555555566</v>
      </c>
      <c r="Z29" s="18">
        <f t="shared" si="6"/>
        <v>1297.7777777777787</v>
      </c>
      <c r="AA29" s="18">
        <f t="shared" si="6"/>
        <v>1295.7500000000011</v>
      </c>
      <c r="AB29" s="18">
        <f t="shared" si="6"/>
        <v>1293.7222222222233</v>
      </c>
      <c r="AC29" s="18">
        <f t="shared" si="6"/>
        <v>1291.6944444444455</v>
      </c>
      <c r="AD29" s="18">
        <f t="shared" si="6"/>
        <v>1289.6666666666677</v>
      </c>
      <c r="AE29" s="18">
        <f t="shared" si="6"/>
        <v>1287.6388888888901</v>
      </c>
      <c r="AF29" s="18">
        <f t="shared" si="6"/>
        <v>1285.6111111111122</v>
      </c>
      <c r="AG29" s="18">
        <f t="shared" si="6"/>
        <v>1283.5833333333344</v>
      </c>
      <c r="AH29" s="18">
        <f t="shared" si="6"/>
        <v>1251.950000000001</v>
      </c>
      <c r="AI29" s="18">
        <f t="shared" si="6"/>
        <v>1220.3166666666675</v>
      </c>
      <c r="AJ29" s="18">
        <f t="shared" si="6"/>
        <v>1188.6833333333343</v>
      </c>
      <c r="AK29" s="18">
        <f t="shared" si="6"/>
        <v>1157.0500000000009</v>
      </c>
      <c r="AL29" s="18">
        <f t="shared" si="6"/>
        <v>1125.4166666666674</v>
      </c>
      <c r="AM29" s="18">
        <f t="shared" si="6"/>
        <v>1093.783333333334</v>
      </c>
      <c r="AN29" s="18">
        <f t="shared" si="6"/>
        <v>1062.1500000000005</v>
      </c>
      <c r="AO29" s="18">
        <f t="shared" si="6"/>
        <v>1030.5166666666671</v>
      </c>
      <c r="AP29" s="18">
        <f t="shared" si="6"/>
        <v>998.88333333333367</v>
      </c>
      <c r="AQ29" s="18">
        <f t="shared" si="6"/>
        <v>967.25000000000034</v>
      </c>
      <c r="AR29" s="18">
        <f t="shared" si="6"/>
        <v>935.6166666666669</v>
      </c>
      <c r="AS29" s="18">
        <f t="shared" si="6"/>
        <v>903.98333333333346</v>
      </c>
      <c r="AT29" s="18">
        <f t="shared" si="6"/>
        <v>872.35</v>
      </c>
      <c r="AU29" s="18">
        <f t="shared" si="6"/>
        <v>865.05000000000007</v>
      </c>
      <c r="AV29" s="18">
        <f t="shared" si="6"/>
        <v>865.05000000000007</v>
      </c>
      <c r="AW29" s="18">
        <f t="shared" si="6"/>
        <v>846.80000000000007</v>
      </c>
      <c r="AX29" s="18">
        <f t="shared" si="6"/>
        <v>865.05000000000007</v>
      </c>
      <c r="AY29" s="18">
        <f t="shared" si="6"/>
        <v>824.9</v>
      </c>
      <c r="AZ29" s="18">
        <f t="shared" si="6"/>
        <v>854.09999999999991</v>
      </c>
      <c r="BA29" s="18">
        <f t="shared" si="6"/>
        <v>839.49999999999989</v>
      </c>
      <c r="BB29" s="18">
        <f t="shared" si="6"/>
        <v>832.2</v>
      </c>
      <c r="BC29" s="18">
        <f>BC28*365</f>
        <v>821.25</v>
      </c>
      <c r="BD29" s="18">
        <f>BD28*365</f>
        <v>843.15</v>
      </c>
      <c r="BE29" s="18"/>
      <c r="BF29" s="18"/>
      <c r="BG29" s="18"/>
    </row>
    <row r="30" spans="1:59" s="26" customFormat="1" ht="15" x14ac:dyDescent="0.3">
      <c r="A30" s="20">
        <v>16</v>
      </c>
      <c r="B30" s="21" t="s">
        <v>26</v>
      </c>
      <c r="C30" s="21">
        <v>3113</v>
      </c>
      <c r="D30" s="21">
        <v>3176</v>
      </c>
      <c r="E30" s="21">
        <v>3263</v>
      </c>
      <c r="F30" s="21">
        <v>3386</v>
      </c>
      <c r="G30" s="21">
        <v>3492</v>
      </c>
      <c r="H30" s="21">
        <v>3600</v>
      </c>
      <c r="I30" s="21">
        <v>3695</v>
      </c>
      <c r="J30" s="21">
        <v>3757</v>
      </c>
      <c r="K30" s="21">
        <v>3815</v>
      </c>
      <c r="L30" s="21">
        <v>3868</v>
      </c>
      <c r="M30" s="21">
        <v>3924</v>
      </c>
      <c r="N30" s="21">
        <v>4018</v>
      </c>
      <c r="O30" s="21">
        <v>4073</v>
      </c>
      <c r="P30" s="21">
        <v>4098</v>
      </c>
      <c r="Q30" s="21">
        <v>4119</v>
      </c>
      <c r="R30" s="21">
        <v>4139</v>
      </c>
      <c r="S30" s="21">
        <v>4151</v>
      </c>
      <c r="T30" s="21">
        <v>4170</v>
      </c>
      <c r="U30" s="21">
        <v>4184</v>
      </c>
      <c r="V30" s="21">
        <v>4191</v>
      </c>
      <c r="W30" s="21">
        <v>4217</v>
      </c>
      <c r="X30" s="21">
        <v>4262</v>
      </c>
      <c r="Y30" s="21">
        <v>4283</v>
      </c>
      <c r="Z30" s="21">
        <v>4313</v>
      </c>
      <c r="AA30" s="21">
        <v>4365</v>
      </c>
      <c r="AB30" s="21">
        <v>4413</v>
      </c>
      <c r="AC30" s="21">
        <v>4487</v>
      </c>
      <c r="AD30" s="21">
        <v>4566</v>
      </c>
      <c r="AE30" s="21">
        <v>4658</v>
      </c>
      <c r="AF30" s="21">
        <v>4727</v>
      </c>
      <c r="AG30" s="21">
        <v>4781</v>
      </c>
      <c r="AH30" s="21">
        <v>4781</v>
      </c>
      <c r="AI30" s="21">
        <v>4800</v>
      </c>
      <c r="AJ30" s="21">
        <v>4868</v>
      </c>
      <c r="AK30" s="21">
        <v>4923</v>
      </c>
      <c r="AL30" s="21">
        <v>4972</v>
      </c>
      <c r="AM30" s="21">
        <v>5023</v>
      </c>
      <c r="AN30" s="21">
        <v>5070</v>
      </c>
      <c r="AO30" s="21">
        <v>5112</v>
      </c>
      <c r="AP30" s="21">
        <v>5157</v>
      </c>
      <c r="AQ30" s="21">
        <v>5204</v>
      </c>
      <c r="AR30" s="21">
        <v>5255</v>
      </c>
      <c r="AS30" s="21">
        <v>5439</v>
      </c>
      <c r="AT30" s="21">
        <v>5495</v>
      </c>
      <c r="AU30" s="21">
        <v>5539</v>
      </c>
      <c r="AV30" s="21">
        <v>5576</v>
      </c>
      <c r="AW30" s="21">
        <v>5602</v>
      </c>
      <c r="AX30" s="21">
        <v>5619</v>
      </c>
      <c r="AY30" s="21">
        <v>5634</v>
      </c>
      <c r="AZ30" s="21">
        <v>5699</v>
      </c>
      <c r="BA30" s="21">
        <v>5773</v>
      </c>
      <c r="BB30" s="21">
        <v>5828</v>
      </c>
      <c r="BC30" s="21">
        <v>5885</v>
      </c>
      <c r="BD30" s="23">
        <v>5928.8140000000003</v>
      </c>
      <c r="BE30" s="21"/>
      <c r="BF30" s="21"/>
      <c r="BG30" s="21"/>
    </row>
    <row r="31" spans="1:59" s="26" customFormat="1" ht="15" x14ac:dyDescent="0.3">
      <c r="A31" s="20">
        <v>17</v>
      </c>
      <c r="B31" s="21" t="s">
        <v>27</v>
      </c>
      <c r="C31" s="21">
        <f>0.8*C30</f>
        <v>2490.4</v>
      </c>
      <c r="D31" s="21">
        <f t="shared" ref="D31:BB31" si="7">0.8*D30</f>
        <v>2540.8000000000002</v>
      </c>
      <c r="E31" s="21">
        <f t="shared" si="7"/>
        <v>2610.4</v>
      </c>
      <c r="F31" s="21">
        <f t="shared" si="7"/>
        <v>2708.8</v>
      </c>
      <c r="G31" s="21">
        <f t="shared" si="7"/>
        <v>2793.6000000000004</v>
      </c>
      <c r="H31" s="21">
        <f t="shared" si="7"/>
        <v>2880</v>
      </c>
      <c r="I31" s="21">
        <f t="shared" si="7"/>
        <v>2956</v>
      </c>
      <c r="J31" s="21">
        <f t="shared" si="7"/>
        <v>3005.6000000000004</v>
      </c>
      <c r="K31" s="21">
        <f t="shared" si="7"/>
        <v>3052</v>
      </c>
      <c r="L31" s="21">
        <f t="shared" si="7"/>
        <v>3094.4</v>
      </c>
      <c r="M31" s="21">
        <f t="shared" si="7"/>
        <v>3139.2000000000003</v>
      </c>
      <c r="N31" s="21">
        <f t="shared" si="7"/>
        <v>3214.4</v>
      </c>
      <c r="O31" s="21">
        <f t="shared" si="7"/>
        <v>3258.4</v>
      </c>
      <c r="P31" s="21">
        <f t="shared" si="7"/>
        <v>3278.4</v>
      </c>
      <c r="Q31" s="21">
        <f t="shared" si="7"/>
        <v>3295.2000000000003</v>
      </c>
      <c r="R31" s="21">
        <f t="shared" si="7"/>
        <v>3311.2000000000003</v>
      </c>
      <c r="S31" s="21">
        <f t="shared" si="7"/>
        <v>3320.8</v>
      </c>
      <c r="T31" s="21">
        <f t="shared" si="7"/>
        <v>3336</v>
      </c>
      <c r="U31" s="21">
        <f t="shared" si="7"/>
        <v>3347.2000000000003</v>
      </c>
      <c r="V31" s="21">
        <f t="shared" si="7"/>
        <v>3352.8</v>
      </c>
      <c r="W31" s="21">
        <f t="shared" si="7"/>
        <v>3373.6000000000004</v>
      </c>
      <c r="X31" s="21">
        <f t="shared" si="7"/>
        <v>3409.6000000000004</v>
      </c>
      <c r="Y31" s="21">
        <f t="shared" si="7"/>
        <v>3426.4</v>
      </c>
      <c r="Z31" s="21">
        <f t="shared" si="7"/>
        <v>3450.4</v>
      </c>
      <c r="AA31" s="21">
        <f t="shared" si="7"/>
        <v>3492</v>
      </c>
      <c r="AB31" s="21">
        <f t="shared" si="7"/>
        <v>3530.4</v>
      </c>
      <c r="AC31" s="21">
        <f t="shared" si="7"/>
        <v>3589.6000000000004</v>
      </c>
      <c r="AD31" s="21">
        <f t="shared" si="7"/>
        <v>3652.8</v>
      </c>
      <c r="AE31" s="21">
        <f t="shared" si="7"/>
        <v>3726.4</v>
      </c>
      <c r="AF31" s="21">
        <f t="shared" si="7"/>
        <v>3781.6000000000004</v>
      </c>
      <c r="AG31" s="21">
        <f t="shared" si="7"/>
        <v>3824.8</v>
      </c>
      <c r="AH31" s="21">
        <f t="shared" si="7"/>
        <v>3824.8</v>
      </c>
      <c r="AI31" s="21">
        <f t="shared" si="7"/>
        <v>3840</v>
      </c>
      <c r="AJ31" s="21">
        <f t="shared" si="7"/>
        <v>3894.4</v>
      </c>
      <c r="AK31" s="21">
        <f t="shared" si="7"/>
        <v>3938.4</v>
      </c>
      <c r="AL31" s="21">
        <f t="shared" si="7"/>
        <v>3977.6000000000004</v>
      </c>
      <c r="AM31" s="21">
        <f t="shared" si="7"/>
        <v>4018.4</v>
      </c>
      <c r="AN31" s="21">
        <f t="shared" si="7"/>
        <v>4056</v>
      </c>
      <c r="AO31" s="21">
        <f t="shared" si="7"/>
        <v>4089.6000000000004</v>
      </c>
      <c r="AP31" s="21">
        <f t="shared" si="7"/>
        <v>4125.6000000000004</v>
      </c>
      <c r="AQ31" s="21">
        <f t="shared" si="7"/>
        <v>4163.2</v>
      </c>
      <c r="AR31" s="21">
        <f t="shared" si="7"/>
        <v>4204</v>
      </c>
      <c r="AS31" s="21">
        <f t="shared" si="7"/>
        <v>4351.2</v>
      </c>
      <c r="AT31" s="21">
        <f t="shared" si="7"/>
        <v>4396</v>
      </c>
      <c r="AU31" s="21">
        <f t="shared" si="7"/>
        <v>4431.2</v>
      </c>
      <c r="AV31" s="21">
        <f t="shared" si="7"/>
        <v>4460.8</v>
      </c>
      <c r="AW31" s="21">
        <f t="shared" si="7"/>
        <v>4481.6000000000004</v>
      </c>
      <c r="AX31" s="21">
        <f t="shared" si="7"/>
        <v>4495.2</v>
      </c>
      <c r="AY31" s="21">
        <f t="shared" si="7"/>
        <v>4507.2</v>
      </c>
      <c r="AZ31" s="21">
        <f t="shared" si="7"/>
        <v>4559.2</v>
      </c>
      <c r="BA31" s="21">
        <f t="shared" si="7"/>
        <v>4618.4000000000005</v>
      </c>
      <c r="BB31" s="21">
        <f t="shared" si="7"/>
        <v>4662.4000000000005</v>
      </c>
      <c r="BC31" s="21">
        <f>0.8*BC30</f>
        <v>4708</v>
      </c>
      <c r="BD31" s="21">
        <f>0.8*BD30</f>
        <v>4743.0512000000008</v>
      </c>
      <c r="BE31" s="21"/>
      <c r="BF31" s="21"/>
      <c r="BG31" s="21"/>
    </row>
    <row r="32" spans="1:59" s="25" customFormat="1" ht="15" x14ac:dyDescent="0.3">
      <c r="A32" s="17">
        <v>18</v>
      </c>
      <c r="B32" s="18" t="s">
        <v>28</v>
      </c>
      <c r="C32" s="18">
        <f>C31*C29/1000</f>
        <v>4228.779248571429</v>
      </c>
      <c r="D32" s="18">
        <f t="shared" ref="D32:BB32" si="8">D31*D29/1000</f>
        <v>4249.3101440000009</v>
      </c>
      <c r="E32" s="18">
        <f t="shared" si="8"/>
        <v>4298.879438285715</v>
      </c>
      <c r="F32" s="18">
        <f t="shared" si="8"/>
        <v>4391.5762148571439</v>
      </c>
      <c r="G32" s="18">
        <f t="shared" si="8"/>
        <v>4457.5340091428588</v>
      </c>
      <c r="H32" s="18">
        <f t="shared" si="8"/>
        <v>4521.6617142857167</v>
      </c>
      <c r="I32" s="18">
        <f t="shared" si="8"/>
        <v>4565.3034085714316</v>
      </c>
      <c r="J32" s="18">
        <f t="shared" si="8"/>
        <v>4564.9568045714323</v>
      </c>
      <c r="K32" s="18">
        <f t="shared" si="8"/>
        <v>4557.2921800000031</v>
      </c>
      <c r="L32" s="18">
        <f t="shared" si="8"/>
        <v>4541.3812251428608</v>
      </c>
      <c r="M32" s="18">
        <f t="shared" si="8"/>
        <v>4526.7600342857186</v>
      </c>
      <c r="N32" s="18">
        <f t="shared" si="8"/>
        <v>4552.9037120000039</v>
      </c>
      <c r="O32" s="18">
        <f t="shared" si="8"/>
        <v>4531.8036668571467</v>
      </c>
      <c r="P32" s="18">
        <f t="shared" si="8"/>
        <v>4475.6857302857179</v>
      </c>
      <c r="Q32" s="18">
        <f t="shared" si="8"/>
        <v>4414.2569811428612</v>
      </c>
      <c r="R32" s="18">
        <f t="shared" si="8"/>
        <v>4350.9168000000036</v>
      </c>
      <c r="S32" s="18">
        <f t="shared" si="8"/>
        <v>4356.7973555555591</v>
      </c>
      <c r="T32" s="18">
        <f t="shared" si="8"/>
        <v>4369.9746666666697</v>
      </c>
      <c r="U32" s="18">
        <f t="shared" si="8"/>
        <v>4377.8586666666706</v>
      </c>
      <c r="V32" s="18">
        <f t="shared" si="8"/>
        <v>4378.3842666666706</v>
      </c>
      <c r="W32" s="18">
        <f t="shared" si="8"/>
        <v>4398.7058444444492</v>
      </c>
      <c r="X32" s="18">
        <f t="shared" si="8"/>
        <v>4438.7309333333369</v>
      </c>
      <c r="Y32" s="18">
        <f t="shared" si="8"/>
        <v>4453.6537555555587</v>
      </c>
      <c r="Z32" s="18">
        <f t="shared" si="8"/>
        <v>4477.8524444444474</v>
      </c>
      <c r="AA32" s="18">
        <f t="shared" si="8"/>
        <v>4524.7590000000037</v>
      </c>
      <c r="AB32" s="18">
        <f t="shared" si="8"/>
        <v>4567.3569333333371</v>
      </c>
      <c r="AC32" s="18">
        <f t="shared" si="8"/>
        <v>4636.6663777777821</v>
      </c>
      <c r="AD32" s="18">
        <f t="shared" si="8"/>
        <v>4710.8944000000038</v>
      </c>
      <c r="AE32" s="18">
        <f t="shared" si="8"/>
        <v>4798.2575555555595</v>
      </c>
      <c r="AF32" s="18">
        <f t="shared" si="8"/>
        <v>4861.6669777777824</v>
      </c>
      <c r="AG32" s="18">
        <f t="shared" si="8"/>
        <v>4909.449533333338</v>
      </c>
      <c r="AH32" s="18">
        <f t="shared" si="8"/>
        <v>4788.4583600000042</v>
      </c>
      <c r="AI32" s="18">
        <f t="shared" si="8"/>
        <v>4686.0160000000042</v>
      </c>
      <c r="AJ32" s="18">
        <f t="shared" si="8"/>
        <v>4629.2083733333366</v>
      </c>
      <c r="AK32" s="18">
        <f t="shared" si="8"/>
        <v>4556.9257200000038</v>
      </c>
      <c r="AL32" s="18">
        <f t="shared" si="8"/>
        <v>4476.4573333333365</v>
      </c>
      <c r="AM32" s="18">
        <f t="shared" si="8"/>
        <v>4395.2589466666695</v>
      </c>
      <c r="AN32" s="18">
        <f t="shared" si="8"/>
        <v>4308.0804000000026</v>
      </c>
      <c r="AO32" s="18">
        <f t="shared" si="8"/>
        <v>4214.4009600000018</v>
      </c>
      <c r="AP32" s="18">
        <f t="shared" si="8"/>
        <v>4120.993080000002</v>
      </c>
      <c r="AQ32" s="18">
        <f t="shared" si="8"/>
        <v>4026.8552000000013</v>
      </c>
      <c r="AR32" s="18">
        <f t="shared" si="8"/>
        <v>3933.3324666666676</v>
      </c>
      <c r="AS32" s="18">
        <f t="shared" si="8"/>
        <v>3933.4122800000005</v>
      </c>
      <c r="AT32" s="18">
        <f t="shared" si="8"/>
        <v>3834.8506000000002</v>
      </c>
      <c r="AU32" s="18">
        <f t="shared" si="8"/>
        <v>3833.2095600000002</v>
      </c>
      <c r="AV32" s="18">
        <f t="shared" si="8"/>
        <v>3858.8150400000004</v>
      </c>
      <c r="AW32" s="18">
        <f t="shared" si="8"/>
        <v>3795.018880000001</v>
      </c>
      <c r="AX32" s="18">
        <f t="shared" si="8"/>
        <v>3888.57276</v>
      </c>
      <c r="AY32" s="18">
        <f t="shared" si="8"/>
        <v>3717.9892799999998</v>
      </c>
      <c r="AZ32" s="18">
        <f t="shared" si="8"/>
        <v>3894.0127199999993</v>
      </c>
      <c r="BA32" s="18">
        <f t="shared" si="8"/>
        <v>3877.1468</v>
      </c>
      <c r="BB32" s="18">
        <f t="shared" si="8"/>
        <v>3880.0492800000006</v>
      </c>
      <c r="BC32" s="18">
        <f>BC31*BC29/1000</f>
        <v>3866.4450000000002</v>
      </c>
      <c r="BD32" s="18">
        <f>BD31*BD29/1000</f>
        <v>3999.1036192800007</v>
      </c>
      <c r="BE32" s="18"/>
      <c r="BF32" s="18"/>
      <c r="BG32" s="18"/>
    </row>
    <row r="33" spans="1:59" s="26" customFormat="1" ht="15" x14ac:dyDescent="0.3">
      <c r="A33" s="20">
        <v>19</v>
      </c>
      <c r="B33" s="21" t="s">
        <v>29</v>
      </c>
      <c r="C33" s="21">
        <v>6.5699356808731801</v>
      </c>
      <c r="D33" s="21">
        <v>6.7753633907898108</v>
      </c>
      <c r="E33" s="21">
        <v>7.0589499490575642</v>
      </c>
      <c r="F33" s="21">
        <v>7.1885275263951733</v>
      </c>
      <c r="G33" s="21">
        <v>7.5123852357320091</v>
      </c>
      <c r="H33" s="21">
        <v>7.8320512820512809</v>
      </c>
      <c r="I33" s="21">
        <v>8.1894141737891726</v>
      </c>
      <c r="J33" s="21">
        <v>8.5192797098111459</v>
      </c>
      <c r="K33" s="21">
        <v>8.9211704244031829</v>
      </c>
      <c r="L33" s="21">
        <v>9.4654055753510775</v>
      </c>
      <c r="M33" s="21">
        <v>9.7255105075337038</v>
      </c>
      <c r="N33" s="21">
        <v>9.9816310541310536</v>
      </c>
      <c r="O33" s="21">
        <v>10.46145104895105</v>
      </c>
      <c r="P33" s="21">
        <v>10.827761174636176</v>
      </c>
      <c r="Q33" s="21">
        <v>10.697008113590265</v>
      </c>
      <c r="R33" s="21">
        <v>10.607079282241921</v>
      </c>
      <c r="S33" s="21">
        <v>10.966197444910097</v>
      </c>
      <c r="T33" s="21">
        <v>11.173710015232292</v>
      </c>
      <c r="U33" s="21">
        <v>11.464678209060876</v>
      </c>
      <c r="V33" s="21">
        <v>11.377141608391609</v>
      </c>
      <c r="W33" s="21">
        <v>11.239739311053023</v>
      </c>
      <c r="X33" s="21">
        <v>11.28254633155623</v>
      </c>
      <c r="Y33" s="21">
        <v>11.484003587086487</v>
      </c>
      <c r="Z33" s="21">
        <v>11.917049930491194</v>
      </c>
      <c r="AA33" s="21">
        <v>12.591973606278223</v>
      </c>
      <c r="AB33" s="21">
        <v>13.133050650557623</v>
      </c>
      <c r="AC33" s="21">
        <v>13.648010247052218</v>
      </c>
      <c r="AD33" s="21">
        <v>13.998246208017335</v>
      </c>
      <c r="AE33" s="21">
        <v>14.403652708238509</v>
      </c>
      <c r="AF33" s="21">
        <v>14.621510545905705</v>
      </c>
      <c r="AG33" s="21">
        <v>14.474995585898418</v>
      </c>
      <c r="AH33" s="21">
        <v>14.165215181294478</v>
      </c>
      <c r="AI33" s="21">
        <v>14.243981989144139</v>
      </c>
      <c r="AJ33" s="21">
        <v>14.162842693638538</v>
      </c>
      <c r="AK33" s="21">
        <v>14.293578713796325</v>
      </c>
      <c r="AL33" s="21">
        <v>14.337505678376742</v>
      </c>
      <c r="AM33" s="21">
        <v>14.453947271657595</v>
      </c>
      <c r="AN33" s="21">
        <v>14.786380301941046</v>
      </c>
      <c r="AO33" s="21">
        <v>15.398145941481829</v>
      </c>
      <c r="AP33" s="21">
        <v>15.800371687136392</v>
      </c>
      <c r="AQ33" s="21">
        <v>16.473076923076924</v>
      </c>
      <c r="AR33" s="21">
        <v>16.666612192155668</v>
      </c>
      <c r="AS33" s="21">
        <v>16.821382071236155</v>
      </c>
      <c r="AT33" s="21">
        <v>16.846102111204011</v>
      </c>
      <c r="AU33" s="21">
        <v>17.417132080465851</v>
      </c>
      <c r="AV33" s="21">
        <v>17.711135235732005</v>
      </c>
      <c r="AW33" s="21">
        <v>18.023327323717947</v>
      </c>
      <c r="AX33" s="21">
        <v>18.558912668373591</v>
      </c>
      <c r="AY33" s="21">
        <v>18.492242934724356</v>
      </c>
      <c r="AZ33" s="21">
        <v>19.262730000000001</v>
      </c>
      <c r="BA33" s="21">
        <v>19.64</v>
      </c>
      <c r="BB33" s="21">
        <v>19.510000000000002</v>
      </c>
      <c r="BC33" s="21">
        <v>19.489999999999998</v>
      </c>
      <c r="BD33" s="21">
        <v>19.162275946720278</v>
      </c>
      <c r="BE33" s="21"/>
      <c r="BF33" s="21"/>
      <c r="BG33" s="21"/>
    </row>
    <row r="34" spans="1:59" s="29" customFormat="1" ht="15" x14ac:dyDescent="0.3">
      <c r="A34" s="27">
        <v>20</v>
      </c>
      <c r="B34" s="28" t="s">
        <v>30</v>
      </c>
      <c r="C34" s="28">
        <f>C33*0.429</f>
        <v>2.8185024070945941</v>
      </c>
      <c r="D34" s="28">
        <f t="shared" ref="D34:BB34" si="9">D33*0.429</f>
        <v>2.9066308946488286</v>
      </c>
      <c r="E34" s="28">
        <f t="shared" si="9"/>
        <v>3.0282895281456952</v>
      </c>
      <c r="F34" s="28">
        <f t="shared" si="9"/>
        <v>3.0838783088235293</v>
      </c>
      <c r="G34" s="28">
        <f t="shared" si="9"/>
        <v>3.2228132661290321</v>
      </c>
      <c r="H34" s="28">
        <f t="shared" si="9"/>
        <v>3.3599499999999995</v>
      </c>
      <c r="I34" s="28">
        <f t="shared" si="9"/>
        <v>3.513258680555555</v>
      </c>
      <c r="J34" s="28">
        <f t="shared" si="9"/>
        <v>3.6547709955089815</v>
      </c>
      <c r="K34" s="28">
        <f t="shared" si="9"/>
        <v>3.8271821120689653</v>
      </c>
      <c r="L34" s="28">
        <f t="shared" si="9"/>
        <v>4.060658991825612</v>
      </c>
      <c r="M34" s="28">
        <f t="shared" si="9"/>
        <v>4.1722440077319591</v>
      </c>
      <c r="N34" s="28">
        <f t="shared" si="9"/>
        <v>4.2821197222222223</v>
      </c>
      <c r="O34" s="28">
        <f t="shared" si="9"/>
        <v>4.4879625000000001</v>
      </c>
      <c r="P34" s="28">
        <f t="shared" si="9"/>
        <v>4.6451095439189194</v>
      </c>
      <c r="Q34" s="28">
        <f t="shared" si="9"/>
        <v>4.5890164807302236</v>
      </c>
      <c r="R34" s="28">
        <f t="shared" si="9"/>
        <v>4.5504370120817841</v>
      </c>
      <c r="S34" s="28">
        <f t="shared" si="9"/>
        <v>4.7044987038664319</v>
      </c>
      <c r="T34" s="28">
        <f t="shared" si="9"/>
        <v>4.7935215965346529</v>
      </c>
      <c r="U34" s="28">
        <f t="shared" si="9"/>
        <v>4.9183469516871154</v>
      </c>
      <c r="V34" s="28">
        <f t="shared" si="9"/>
        <v>4.8807937500000005</v>
      </c>
      <c r="W34" s="28">
        <f t="shared" si="9"/>
        <v>4.8218481644417466</v>
      </c>
      <c r="X34" s="28">
        <f t="shared" si="9"/>
        <v>4.8402123762376226</v>
      </c>
      <c r="Y34" s="28">
        <f t="shared" si="9"/>
        <v>4.9266375388601027</v>
      </c>
      <c r="Z34" s="28">
        <f t="shared" si="9"/>
        <v>5.1124144201807225</v>
      </c>
      <c r="AA34" s="28">
        <f t="shared" si="9"/>
        <v>5.4019566770933576</v>
      </c>
      <c r="AB34" s="28">
        <f t="shared" si="9"/>
        <v>5.6340787290892198</v>
      </c>
      <c r="AC34" s="28">
        <f t="shared" si="9"/>
        <v>5.8549963959854017</v>
      </c>
      <c r="AD34" s="28">
        <f t="shared" si="9"/>
        <v>6.0052476232394367</v>
      </c>
      <c r="AE34" s="28">
        <f t="shared" si="9"/>
        <v>6.1791670118343198</v>
      </c>
      <c r="AF34" s="28">
        <f t="shared" si="9"/>
        <v>6.2726280241935477</v>
      </c>
      <c r="AG34" s="28">
        <f t="shared" si="9"/>
        <v>6.2097731063504211</v>
      </c>
      <c r="AH34" s="28">
        <f t="shared" si="9"/>
        <v>6.0768773127753306</v>
      </c>
      <c r="AI34" s="28">
        <f t="shared" si="9"/>
        <v>6.110668273342835</v>
      </c>
      <c r="AJ34" s="28">
        <f t="shared" si="9"/>
        <v>6.075859515570933</v>
      </c>
      <c r="AK34" s="28">
        <f t="shared" si="9"/>
        <v>6.1319452682186233</v>
      </c>
      <c r="AL34" s="28">
        <f t="shared" si="9"/>
        <v>6.1507899360236218</v>
      </c>
      <c r="AM34" s="28">
        <f t="shared" si="9"/>
        <v>6.200743379541108</v>
      </c>
      <c r="AN34" s="28">
        <f t="shared" si="9"/>
        <v>6.3433571495327081</v>
      </c>
      <c r="AO34" s="28">
        <f t="shared" si="9"/>
        <v>6.6058046088957045</v>
      </c>
      <c r="AP34" s="28">
        <f t="shared" si="9"/>
        <v>6.7783594537815119</v>
      </c>
      <c r="AQ34" s="28">
        <f t="shared" si="9"/>
        <v>7.0669500000000003</v>
      </c>
      <c r="AR34" s="28">
        <f t="shared" si="9"/>
        <v>7.1499766304347814</v>
      </c>
      <c r="AS34" s="28">
        <f t="shared" si="9"/>
        <v>7.2163729085603103</v>
      </c>
      <c r="AT34" s="28">
        <f t="shared" si="9"/>
        <v>7.2269778057065208</v>
      </c>
      <c r="AU34" s="28">
        <f t="shared" si="9"/>
        <v>7.47194966251985</v>
      </c>
      <c r="AV34" s="28">
        <f t="shared" si="9"/>
        <v>7.5980770161290296</v>
      </c>
      <c r="AW34" s="28">
        <f t="shared" si="9"/>
        <v>7.7320074218749992</v>
      </c>
      <c r="AX34" s="28">
        <f t="shared" si="9"/>
        <v>7.96177353473227</v>
      </c>
      <c r="AY34" s="28">
        <f t="shared" si="9"/>
        <v>7.9331722189967486</v>
      </c>
      <c r="AZ34" s="28">
        <f t="shared" si="9"/>
        <v>8.2637111700000005</v>
      </c>
      <c r="BA34" s="28">
        <f t="shared" si="9"/>
        <v>8.4255600000000008</v>
      </c>
      <c r="BB34" s="28">
        <f t="shared" si="9"/>
        <v>8.3697900000000001</v>
      </c>
      <c r="BC34" s="28">
        <f>BC33*0.429</f>
        <v>8.3612099999999998</v>
      </c>
      <c r="BD34" s="28">
        <f>BD33*0.429</f>
        <v>8.2206163811429995</v>
      </c>
      <c r="BE34" s="28"/>
      <c r="BF34" s="28"/>
      <c r="BG34" s="28"/>
    </row>
    <row r="35" spans="1:59" s="15" customFormat="1" ht="15" x14ac:dyDescent="0.3">
      <c r="A35" s="13"/>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row>
    <row r="36" spans="1:59" s="15" customFormat="1" ht="15" x14ac:dyDescent="0.3">
      <c r="A36" s="16"/>
      <c r="AT36" s="14"/>
      <c r="AU36" s="14"/>
      <c r="AV36" s="14"/>
      <c r="AW36" s="14"/>
      <c r="AX36" s="14"/>
      <c r="AY36" s="14"/>
      <c r="AZ36" s="14"/>
      <c r="BA36" s="14"/>
      <c r="BB36" s="14"/>
      <c r="BC36" s="14"/>
      <c r="BD36" s="14"/>
      <c r="BE36" s="14"/>
      <c r="BF36" s="14"/>
      <c r="BG36" s="14"/>
    </row>
    <row r="37" spans="1:59" s="15" customFormat="1" ht="15" x14ac:dyDescent="0.3">
      <c r="A37" s="125" t="s">
        <v>31</v>
      </c>
      <c r="B37" s="125"/>
      <c r="AT37" s="14"/>
      <c r="AU37" s="14"/>
      <c r="AV37" s="14"/>
      <c r="AW37" s="14"/>
      <c r="AX37" s="14"/>
      <c r="AY37" s="14"/>
      <c r="AZ37" s="14"/>
      <c r="BA37" s="14"/>
      <c r="BB37" s="14"/>
      <c r="BC37" s="14"/>
      <c r="BD37" s="14"/>
      <c r="BE37" s="14"/>
      <c r="BF37" s="14"/>
      <c r="BG37" s="14"/>
    </row>
    <row r="38" spans="1:59" s="15" customFormat="1" ht="15" x14ac:dyDescent="0.3">
      <c r="A38" s="30">
        <v>1</v>
      </c>
      <c r="B38" s="15" t="s">
        <v>32</v>
      </c>
      <c r="AT38" s="14"/>
      <c r="AU38" s="14"/>
      <c r="AV38" s="14"/>
      <c r="AW38" s="14"/>
      <c r="AX38" s="14"/>
      <c r="AY38" s="14"/>
      <c r="AZ38" s="14"/>
      <c r="BA38" s="14"/>
      <c r="BB38" s="14"/>
      <c r="BC38" s="14"/>
      <c r="BD38" s="14"/>
      <c r="BE38" s="14"/>
      <c r="BF38" s="14"/>
      <c r="BG38" s="14"/>
    </row>
    <row r="39" spans="1:59" s="15" customFormat="1" ht="15" x14ac:dyDescent="0.3">
      <c r="A39" s="30" t="s">
        <v>33</v>
      </c>
      <c r="B39" s="15" t="s">
        <v>34</v>
      </c>
      <c r="AT39" s="14"/>
      <c r="AU39" s="14"/>
      <c r="AV39" s="14"/>
      <c r="AW39" s="14"/>
      <c r="AX39" s="14"/>
      <c r="AY39" s="14"/>
      <c r="AZ39" s="14"/>
      <c r="BA39" s="14"/>
      <c r="BB39" s="14"/>
      <c r="BC39" s="14"/>
      <c r="BD39" s="14"/>
      <c r="BE39" s="14"/>
      <c r="BF39" s="14"/>
      <c r="BG39" s="14"/>
    </row>
    <row r="40" spans="1:59" s="15" customFormat="1" ht="15" x14ac:dyDescent="0.3">
      <c r="A40" s="30" t="s">
        <v>35</v>
      </c>
      <c r="B40" s="15" t="s">
        <v>36</v>
      </c>
      <c r="AT40" s="14"/>
      <c r="AU40" s="14"/>
      <c r="AV40" s="14"/>
      <c r="AW40" s="14"/>
      <c r="AX40" s="14"/>
      <c r="AY40" s="14"/>
      <c r="AZ40" s="14"/>
      <c r="BA40" s="14"/>
      <c r="BB40" s="14"/>
      <c r="BC40" s="14"/>
      <c r="BD40" s="14"/>
      <c r="BE40" s="14"/>
      <c r="BF40" s="14"/>
      <c r="BG40" s="14"/>
    </row>
    <row r="41" spans="1:59" s="15" customFormat="1" ht="15" x14ac:dyDescent="0.3">
      <c r="A41" s="30" t="s">
        <v>37</v>
      </c>
      <c r="B41" s="31" t="s">
        <v>38</v>
      </c>
      <c r="AT41" s="14"/>
      <c r="AU41" s="14"/>
      <c r="AV41" s="14"/>
      <c r="AW41" s="14"/>
      <c r="AX41" s="14"/>
      <c r="AY41" s="14"/>
      <c r="AZ41" s="14"/>
      <c r="BA41" s="14"/>
      <c r="BB41" s="14"/>
      <c r="BC41" s="14"/>
      <c r="BD41" s="14"/>
      <c r="BE41" s="14"/>
      <c r="BF41" s="14"/>
      <c r="BG41" s="14"/>
    </row>
    <row r="42" spans="1:59" s="15" customFormat="1" ht="15" x14ac:dyDescent="0.3">
      <c r="A42" s="30">
        <v>11</v>
      </c>
      <c r="B42" s="15" t="s">
        <v>39</v>
      </c>
      <c r="AT42" s="14"/>
      <c r="AU42" s="14"/>
      <c r="AV42" s="14"/>
      <c r="AW42" s="14"/>
      <c r="AX42" s="14"/>
      <c r="AY42" s="14"/>
      <c r="AZ42" s="14"/>
      <c r="BA42" s="14"/>
      <c r="BB42" s="14"/>
      <c r="BC42" s="14"/>
      <c r="BD42" s="14"/>
      <c r="BE42" s="14"/>
      <c r="BF42" s="14"/>
      <c r="BG42" s="14"/>
    </row>
    <row r="43" spans="1:59" s="15" customFormat="1" ht="15" x14ac:dyDescent="0.3">
      <c r="A43" s="16">
        <v>12</v>
      </c>
      <c r="B43" s="15" t="s">
        <v>40</v>
      </c>
      <c r="AT43" s="14"/>
      <c r="AU43" s="14"/>
      <c r="AV43" s="14"/>
      <c r="AW43" s="14"/>
      <c r="AX43" s="14"/>
      <c r="AY43" s="14"/>
      <c r="AZ43" s="14"/>
      <c r="BA43" s="14"/>
      <c r="BB43" s="14"/>
      <c r="BC43" s="14"/>
      <c r="BD43" s="14"/>
      <c r="BE43" s="14"/>
      <c r="BF43" s="14"/>
      <c r="BG43" s="14"/>
    </row>
    <row r="44" spans="1:59" s="15" customFormat="1" ht="15" x14ac:dyDescent="0.3">
      <c r="A44" s="16">
        <v>13</v>
      </c>
      <c r="B44" s="15" t="s">
        <v>41</v>
      </c>
      <c r="AT44" s="14"/>
      <c r="AU44" s="14"/>
      <c r="AV44" s="14"/>
      <c r="AW44" s="14"/>
      <c r="AX44" s="14"/>
      <c r="AY44" s="14"/>
      <c r="AZ44" s="14"/>
      <c r="BA44" s="14"/>
      <c r="BB44" s="14"/>
      <c r="BC44" s="14"/>
      <c r="BD44" s="14"/>
      <c r="BE44" s="14"/>
      <c r="BF44" s="14"/>
      <c r="BG44" s="14"/>
    </row>
    <row r="45" spans="1:59" s="15" customFormat="1" ht="15" x14ac:dyDescent="0.3">
      <c r="A45" s="16">
        <v>14</v>
      </c>
      <c r="B45" s="15" t="s">
        <v>42</v>
      </c>
      <c r="AT45" s="14"/>
      <c r="AU45" s="14"/>
      <c r="AV45" s="14"/>
      <c r="AW45" s="14"/>
      <c r="AX45" s="14"/>
      <c r="AY45" s="14"/>
      <c r="AZ45" s="14"/>
      <c r="BA45" s="14"/>
      <c r="BB45" s="14"/>
      <c r="BC45" s="14"/>
      <c r="BD45" s="14"/>
      <c r="BE45" s="14"/>
      <c r="BF45" s="14"/>
      <c r="BG45" s="14"/>
    </row>
    <row r="46" spans="1:59" s="15" customFormat="1" ht="15" x14ac:dyDescent="0.3">
      <c r="A46" s="16">
        <v>15</v>
      </c>
      <c r="B46" s="15" t="s">
        <v>43</v>
      </c>
      <c r="AT46" s="14"/>
      <c r="AU46" s="14"/>
      <c r="AV46" s="14"/>
      <c r="AW46" s="14"/>
      <c r="AX46" s="14"/>
      <c r="AY46" s="14"/>
      <c r="AZ46" s="14"/>
      <c r="BA46" s="14"/>
      <c r="BB46" s="14"/>
      <c r="BC46" s="14"/>
      <c r="BD46" s="14"/>
      <c r="BE46" s="14"/>
      <c r="BF46" s="14"/>
      <c r="BG46" s="14"/>
    </row>
    <row r="47" spans="1:59" s="15" customFormat="1" ht="15" x14ac:dyDescent="0.3">
      <c r="A47" s="16">
        <v>16</v>
      </c>
      <c r="B47" s="15" t="s">
        <v>44</v>
      </c>
      <c r="AT47" s="14"/>
      <c r="AU47" s="14"/>
      <c r="AV47" s="14"/>
      <c r="AW47" s="14"/>
      <c r="AX47" s="14"/>
      <c r="AY47" s="14"/>
      <c r="AZ47" s="14"/>
      <c r="BA47" s="14"/>
      <c r="BB47" s="14"/>
      <c r="BC47" s="14"/>
      <c r="BD47" s="14"/>
      <c r="BE47" s="14"/>
      <c r="BF47" s="14"/>
      <c r="BG47" s="14"/>
    </row>
    <row r="48" spans="1:59" s="15" customFormat="1" ht="15" x14ac:dyDescent="0.3">
      <c r="A48" s="16">
        <v>17</v>
      </c>
      <c r="B48" s="15" t="s">
        <v>45</v>
      </c>
      <c r="AT48" s="14"/>
      <c r="AU48" s="14"/>
      <c r="AV48" s="14"/>
      <c r="AW48" s="14"/>
      <c r="AX48" s="14"/>
      <c r="AY48" s="14"/>
      <c r="AZ48" s="14"/>
      <c r="BA48" s="14"/>
      <c r="BB48" s="14"/>
      <c r="BC48" s="14"/>
      <c r="BD48" s="14"/>
      <c r="BE48" s="14"/>
      <c r="BF48" s="14"/>
      <c r="BG48" s="14"/>
    </row>
    <row r="49" spans="1:59" s="15" customFormat="1" ht="15" x14ac:dyDescent="0.3">
      <c r="A49" s="16">
        <v>18</v>
      </c>
      <c r="B49" s="15" t="s">
        <v>46</v>
      </c>
      <c r="AT49" s="14"/>
      <c r="AU49" s="14"/>
      <c r="AV49" s="14"/>
      <c r="AW49" s="14"/>
      <c r="AX49" s="14"/>
      <c r="AY49" s="14"/>
      <c r="AZ49" s="14"/>
      <c r="BA49" s="14"/>
      <c r="BB49" s="14"/>
      <c r="BC49" s="14"/>
      <c r="BD49" s="14"/>
      <c r="BE49" s="14"/>
      <c r="BF49" s="14"/>
      <c r="BG49" s="14"/>
    </row>
    <row r="50" spans="1:59" s="15" customFormat="1" ht="15" x14ac:dyDescent="0.3">
      <c r="A50" s="16">
        <v>19</v>
      </c>
      <c r="B50" s="15" t="s">
        <v>47</v>
      </c>
      <c r="AT50" s="14"/>
      <c r="AU50" s="14"/>
      <c r="AV50" s="14"/>
      <c r="AW50" s="14"/>
      <c r="AX50" s="14"/>
      <c r="AY50" s="14"/>
      <c r="AZ50" s="14"/>
      <c r="BA50" s="14"/>
      <c r="BB50" s="14"/>
      <c r="BC50" s="14"/>
      <c r="BD50" s="14"/>
      <c r="BE50" s="14"/>
      <c r="BF50" s="14"/>
      <c r="BG50" s="14"/>
    </row>
    <row r="51" spans="1:59" s="15" customFormat="1" ht="15" x14ac:dyDescent="0.3">
      <c r="A51" s="16">
        <v>20</v>
      </c>
      <c r="B51" s="15" t="s">
        <v>48</v>
      </c>
      <c r="AT51" s="14"/>
      <c r="AU51" s="14"/>
      <c r="AV51" s="14"/>
      <c r="AW51" s="14"/>
      <c r="AX51" s="14"/>
      <c r="AY51" s="14"/>
      <c r="AZ51" s="14"/>
      <c r="BA51" s="14"/>
      <c r="BB51" s="14"/>
      <c r="BC51" s="14"/>
      <c r="BD51" s="14"/>
      <c r="BE51" s="14"/>
      <c r="BF51" s="14"/>
      <c r="BG51" s="14"/>
    </row>
    <row r="52" spans="1:59" s="15" customFormat="1" ht="15" x14ac:dyDescent="0.3">
      <c r="A52" s="16"/>
      <c r="AT52" s="14"/>
      <c r="AU52" s="14"/>
      <c r="AV52" s="14"/>
      <c r="AW52" s="14"/>
      <c r="AX52" s="14"/>
      <c r="AY52" s="14"/>
      <c r="AZ52" s="14"/>
      <c r="BA52" s="14"/>
      <c r="BB52" s="14"/>
      <c r="BC52" s="14"/>
      <c r="BD52" s="14"/>
      <c r="BE52" s="14"/>
      <c r="BF52" s="14"/>
      <c r="BG52" s="14"/>
    </row>
    <row r="53" spans="1:59" s="15" customFormat="1" ht="15" x14ac:dyDescent="0.3">
      <c r="A53" s="16"/>
      <c r="AT53" s="14"/>
      <c r="AU53" s="14"/>
      <c r="AV53" s="14"/>
      <c r="AW53" s="14"/>
      <c r="AX53" s="14"/>
      <c r="AY53" s="14"/>
      <c r="AZ53" s="14"/>
      <c r="BA53" s="14"/>
      <c r="BB53" s="14"/>
      <c r="BC53" s="14"/>
      <c r="BD53" s="14"/>
      <c r="BE53" s="14"/>
      <c r="BF53" s="14"/>
      <c r="BG53" s="14"/>
    </row>
    <row r="54" spans="1:59" s="15" customFormat="1" ht="15" x14ac:dyDescent="0.3">
      <c r="A54" s="125" t="s">
        <v>49</v>
      </c>
      <c r="B54" s="125"/>
      <c r="AT54" s="14"/>
      <c r="AU54" s="14"/>
      <c r="AV54" s="14"/>
      <c r="AW54" s="14"/>
      <c r="AX54" s="14"/>
      <c r="AY54" s="14"/>
      <c r="AZ54" s="14"/>
      <c r="BA54" s="14"/>
      <c r="BB54" s="14"/>
      <c r="BC54" s="14"/>
      <c r="BD54" s="14"/>
      <c r="BE54" s="14"/>
      <c r="BF54" s="14"/>
      <c r="BG54" s="14"/>
    </row>
    <row r="55" spans="1:59" s="15" customFormat="1" ht="15" x14ac:dyDescent="0.3">
      <c r="A55" s="128" t="s">
        <v>50</v>
      </c>
      <c r="B55" s="128"/>
      <c r="C55" s="128"/>
      <c r="D55" s="129"/>
      <c r="E55" s="129"/>
      <c r="F55" s="129"/>
      <c r="AT55" s="14"/>
      <c r="AU55" s="14"/>
      <c r="AV55" s="14"/>
      <c r="AW55" s="14"/>
      <c r="AX55" s="14"/>
      <c r="AY55" s="14"/>
      <c r="AZ55" s="14"/>
      <c r="BA55" s="14"/>
      <c r="BB55" s="14"/>
      <c r="BC55" s="14"/>
      <c r="BD55" s="14"/>
      <c r="BE55" s="14"/>
      <c r="BF55" s="14"/>
      <c r="BG55" s="14"/>
    </row>
    <row r="56" spans="1:59" s="15" customFormat="1" ht="15" x14ac:dyDescent="0.3">
      <c r="A56" s="16"/>
      <c r="AT56" s="14"/>
      <c r="AU56" s="14"/>
      <c r="AV56" s="14"/>
      <c r="AW56" s="14"/>
      <c r="AX56" s="14"/>
      <c r="AY56" s="14"/>
      <c r="AZ56" s="14"/>
      <c r="BA56" s="14"/>
      <c r="BB56" s="14"/>
      <c r="BC56" s="14"/>
      <c r="BD56" s="14"/>
      <c r="BE56" s="14"/>
      <c r="BF56" s="14"/>
      <c r="BG56" s="14"/>
    </row>
    <row r="57" spans="1:59" s="15" customFormat="1" ht="15" x14ac:dyDescent="0.3">
      <c r="A57" s="16"/>
      <c r="AT57" s="14"/>
      <c r="AU57" s="14"/>
      <c r="AV57" s="14"/>
      <c r="AW57" s="14"/>
      <c r="AX57" s="14"/>
      <c r="AY57" s="14"/>
      <c r="AZ57" s="14"/>
      <c r="BA57" s="14"/>
      <c r="BB57" s="14"/>
      <c r="BC57" s="14"/>
      <c r="BD57" s="14"/>
      <c r="BE57" s="14"/>
      <c r="BF57" s="14"/>
      <c r="BG57" s="14"/>
    </row>
    <row r="58" spans="1:59" s="15" customFormat="1" ht="15" x14ac:dyDescent="0.3">
      <c r="A58" s="125" t="s">
        <v>51</v>
      </c>
      <c r="B58" s="125"/>
      <c r="AT58" s="14"/>
      <c r="AU58" s="14"/>
      <c r="AV58" s="14"/>
      <c r="AW58" s="14"/>
      <c r="AX58" s="14"/>
      <c r="AY58" s="14"/>
      <c r="AZ58" s="14"/>
      <c r="BA58" s="14"/>
      <c r="BB58" s="14"/>
      <c r="BC58" s="14"/>
      <c r="BD58" s="14"/>
      <c r="BE58" s="14"/>
      <c r="BF58" s="14"/>
      <c r="BG58" s="14"/>
    </row>
    <row r="59" spans="1:59" s="15" customFormat="1" ht="408.75" customHeight="1" x14ac:dyDescent="0.3">
      <c r="A59" s="123" t="s">
        <v>52</v>
      </c>
      <c r="B59" s="124"/>
      <c r="C59" s="124"/>
      <c r="D59" s="124"/>
      <c r="E59" s="124"/>
      <c r="F59" s="124"/>
      <c r="G59" s="32"/>
      <c r="H59" s="32"/>
      <c r="I59" s="32"/>
      <c r="J59" s="32"/>
      <c r="K59" s="32"/>
      <c r="AT59" s="14"/>
      <c r="AU59" s="14"/>
      <c r="AV59" s="14"/>
      <c r="AW59" s="14"/>
      <c r="AX59" s="14"/>
      <c r="AY59" s="14"/>
      <c r="AZ59" s="14"/>
      <c r="BA59" s="14"/>
      <c r="BB59" s="14"/>
      <c r="BC59" s="14"/>
      <c r="BD59" s="14"/>
      <c r="BE59" s="14"/>
      <c r="BF59" s="14"/>
      <c r="BG59" s="14"/>
    </row>
    <row r="60" spans="1:59" s="15" customFormat="1" ht="15" x14ac:dyDescent="0.3">
      <c r="A60" s="16"/>
      <c r="AT60" s="14"/>
      <c r="AU60" s="14"/>
      <c r="AV60" s="14"/>
      <c r="AW60" s="14"/>
      <c r="AX60" s="14"/>
      <c r="AY60" s="14"/>
      <c r="AZ60" s="14"/>
      <c r="BA60" s="14"/>
      <c r="BB60" s="14"/>
      <c r="BC60" s="14"/>
      <c r="BD60" s="14"/>
      <c r="BE60" s="14"/>
      <c r="BF60" s="14"/>
      <c r="BG60" s="14"/>
    </row>
    <row r="61" spans="1:59" s="15" customFormat="1" ht="15" x14ac:dyDescent="0.3">
      <c r="A61" s="16"/>
      <c r="AT61" s="14"/>
      <c r="AU61" s="14"/>
      <c r="AV61" s="14"/>
      <c r="AW61" s="14"/>
      <c r="AX61" s="14"/>
      <c r="AY61" s="14"/>
      <c r="AZ61" s="14"/>
      <c r="BA61" s="14"/>
      <c r="BB61" s="14"/>
      <c r="BC61" s="14"/>
      <c r="BD61" s="14"/>
      <c r="BE61" s="14"/>
      <c r="BF61" s="14"/>
      <c r="BG61" s="14"/>
    </row>
    <row r="62" spans="1:59" s="15" customFormat="1" ht="15" x14ac:dyDescent="0.3">
      <c r="A62" s="125" t="s">
        <v>53</v>
      </c>
      <c r="B62" s="125"/>
      <c r="AT62" s="14"/>
      <c r="AU62" s="14"/>
      <c r="AV62" s="14"/>
      <c r="AW62" s="14"/>
      <c r="AX62" s="14"/>
      <c r="AY62" s="14"/>
      <c r="AZ62" s="14"/>
      <c r="BA62" s="14"/>
      <c r="BB62" s="14"/>
      <c r="BC62" s="14"/>
      <c r="BD62" s="14"/>
      <c r="BE62" s="14"/>
      <c r="BF62" s="14"/>
      <c r="BG62" s="14"/>
    </row>
    <row r="63" spans="1:59" s="15" customFormat="1" ht="78" customHeight="1" x14ac:dyDescent="0.3">
      <c r="A63" s="126" t="s">
        <v>54</v>
      </c>
      <c r="B63" s="127"/>
      <c r="C63" s="127"/>
      <c r="D63" s="127"/>
      <c r="E63" s="127"/>
      <c r="F63" s="127"/>
      <c r="G63" s="127"/>
      <c r="H63" s="127"/>
      <c r="I63" s="127"/>
      <c r="J63" s="127"/>
      <c r="K63" s="127"/>
      <c r="AT63" s="14"/>
      <c r="AU63" s="14"/>
      <c r="AV63" s="14"/>
      <c r="AW63" s="14"/>
      <c r="AX63" s="14"/>
      <c r="AY63" s="14"/>
      <c r="AZ63" s="14"/>
      <c r="BA63" s="14"/>
      <c r="BB63" s="14"/>
      <c r="BC63" s="14"/>
      <c r="BD63" s="14"/>
      <c r="BE63" s="14"/>
      <c r="BF63" s="14"/>
      <c r="BG63" s="14"/>
    </row>
    <row r="64" spans="1:59" s="15" customFormat="1" ht="15" x14ac:dyDescent="0.3">
      <c r="A64" s="16"/>
      <c r="AT64" s="14"/>
      <c r="AU64" s="14"/>
      <c r="AV64" s="14"/>
      <c r="AW64" s="14"/>
      <c r="AX64" s="14"/>
      <c r="AY64" s="14"/>
      <c r="AZ64" s="14"/>
      <c r="BA64" s="14"/>
      <c r="BB64" s="14"/>
      <c r="BC64" s="14"/>
      <c r="BD64" s="14"/>
      <c r="BE64" s="14"/>
      <c r="BF64" s="14"/>
      <c r="BG64" s="14"/>
    </row>
    <row r="65" spans="1:59" s="15" customFormat="1" ht="15" x14ac:dyDescent="0.3">
      <c r="A65" s="125" t="s">
        <v>55</v>
      </c>
      <c r="B65" s="125"/>
      <c r="AT65" s="14"/>
      <c r="AU65" s="14"/>
      <c r="AV65" s="14"/>
      <c r="AW65" s="14"/>
      <c r="AX65" s="14"/>
      <c r="AY65" s="14"/>
      <c r="AZ65" s="14"/>
      <c r="BA65" s="14"/>
      <c r="BB65" s="14"/>
      <c r="BC65" s="14"/>
      <c r="BD65" s="14"/>
      <c r="BE65" s="14"/>
      <c r="BF65" s="14"/>
      <c r="BG65" s="14"/>
    </row>
    <row r="66" spans="1:59" s="15" customFormat="1" ht="110" customHeight="1" x14ac:dyDescent="0.3">
      <c r="A66" s="126"/>
      <c r="B66" s="126"/>
      <c r="C66" s="126"/>
      <c r="D66" s="126"/>
      <c r="E66" s="126"/>
      <c r="F66" s="126"/>
      <c r="G66" s="126"/>
      <c r="H66" s="126"/>
      <c r="I66" s="126"/>
      <c r="J66" s="126"/>
      <c r="K66" s="126"/>
      <c r="AT66" s="14"/>
      <c r="AU66" s="14"/>
      <c r="AV66" s="14"/>
      <c r="AW66" s="14"/>
      <c r="AX66" s="14"/>
      <c r="AY66" s="14"/>
      <c r="AZ66" s="14"/>
      <c r="BA66" s="14"/>
      <c r="BB66" s="14"/>
      <c r="BC66" s="14"/>
      <c r="BD66" s="14"/>
      <c r="BE66" s="14"/>
      <c r="BF66" s="14"/>
      <c r="BG66" s="14"/>
    </row>
    <row r="67" spans="1:59" s="15" customFormat="1" ht="15" x14ac:dyDescent="0.3">
      <c r="A67" s="16"/>
      <c r="AT67" s="14"/>
      <c r="AU67" s="14"/>
      <c r="AV67" s="14"/>
      <c r="AW67" s="14"/>
      <c r="AX67" s="14"/>
      <c r="AY67" s="14"/>
      <c r="AZ67" s="14"/>
      <c r="BA67" s="14"/>
      <c r="BB67" s="14"/>
      <c r="BC67" s="14"/>
      <c r="BD67" s="14"/>
      <c r="BE67" s="14"/>
      <c r="BF67" s="14"/>
      <c r="BG67" s="14"/>
    </row>
    <row r="70" spans="1:59" ht="375" customHeight="1" x14ac:dyDescent="0.3"/>
    <row r="73" spans="1:59" s="15" customFormat="1" ht="15.75" customHeight="1" x14ac:dyDescent="0.3">
      <c r="A73" s="34"/>
      <c r="AT73" s="14"/>
      <c r="AU73" s="14"/>
      <c r="AV73" s="14"/>
      <c r="AW73" s="14"/>
      <c r="AX73" s="14"/>
      <c r="AY73" s="14"/>
      <c r="AZ73" s="14"/>
      <c r="BA73" s="14"/>
      <c r="BB73" s="14"/>
      <c r="BC73" s="14"/>
      <c r="BD73" s="14"/>
      <c r="BE73" s="14"/>
      <c r="BF73" s="14"/>
      <c r="BG73" s="14"/>
    </row>
    <row r="74" spans="1:59" s="15" customFormat="1" ht="15" x14ac:dyDescent="0.3">
      <c r="A74" s="16"/>
      <c r="AT74" s="14"/>
      <c r="AU74" s="14"/>
      <c r="AV74" s="14"/>
      <c r="AW74" s="14"/>
      <c r="AX74" s="14"/>
      <c r="AY74" s="14"/>
      <c r="AZ74" s="14"/>
      <c r="BA74" s="14"/>
      <c r="BB74" s="14"/>
      <c r="BC74" s="14"/>
      <c r="BD74" s="14"/>
      <c r="BE74" s="14"/>
      <c r="BF74" s="14"/>
      <c r="BG74" s="14"/>
    </row>
    <row r="75" spans="1:59" s="15" customFormat="1" ht="15" x14ac:dyDescent="0.3">
      <c r="A75" s="16"/>
      <c r="AT75" s="14"/>
      <c r="AU75" s="14"/>
      <c r="AV75" s="14"/>
      <c r="AW75" s="14"/>
      <c r="AX75" s="14"/>
      <c r="AY75" s="14"/>
      <c r="AZ75" s="14"/>
      <c r="BA75" s="14"/>
      <c r="BB75" s="14"/>
      <c r="BC75" s="14"/>
      <c r="BD75" s="14"/>
      <c r="BE75" s="14"/>
      <c r="BF75" s="14"/>
      <c r="BG75" s="14"/>
    </row>
    <row r="76" spans="1:59" s="15" customFormat="1" ht="15" x14ac:dyDescent="0.3">
      <c r="A76" s="16"/>
      <c r="AT76" s="14"/>
      <c r="AU76" s="14"/>
      <c r="AV76" s="14"/>
      <c r="AW76" s="14"/>
      <c r="AX76" s="14"/>
      <c r="AY76" s="14"/>
      <c r="AZ76" s="14"/>
      <c r="BA76" s="14"/>
      <c r="BB76" s="14"/>
      <c r="BC76" s="14"/>
      <c r="BD76" s="14"/>
      <c r="BE76" s="14"/>
      <c r="BF76" s="14"/>
      <c r="BG76" s="14"/>
    </row>
    <row r="77" spans="1:59" s="15" customFormat="1" ht="15" x14ac:dyDescent="0.3">
      <c r="A77" s="16"/>
      <c r="AT77" s="14"/>
      <c r="AU77" s="14"/>
      <c r="AV77" s="14"/>
      <c r="AW77" s="14"/>
      <c r="AX77" s="14"/>
      <c r="AY77" s="14"/>
      <c r="AZ77" s="14"/>
      <c r="BA77" s="14"/>
      <c r="BB77" s="14"/>
      <c r="BC77" s="14"/>
      <c r="BD77" s="14"/>
      <c r="BE77" s="14"/>
      <c r="BF77" s="14"/>
      <c r="BG77" s="14"/>
    </row>
    <row r="78" spans="1:59" s="15" customFormat="1" ht="15" x14ac:dyDescent="0.3">
      <c r="A78" s="16"/>
      <c r="AT78" s="14"/>
      <c r="AU78" s="14"/>
      <c r="AV78" s="14"/>
      <c r="AW78" s="14"/>
      <c r="AX78" s="14"/>
      <c r="AY78" s="14"/>
      <c r="AZ78" s="14"/>
      <c r="BA78" s="14"/>
      <c r="BB78" s="14"/>
      <c r="BC78" s="14"/>
      <c r="BD78" s="14"/>
      <c r="BE78" s="14"/>
      <c r="BF78" s="14"/>
      <c r="BG78" s="14"/>
    </row>
  </sheetData>
  <mergeCells count="11">
    <mergeCell ref="A58:B58"/>
    <mergeCell ref="A7:B7"/>
    <mergeCell ref="A14:B14"/>
    <mergeCell ref="A37:B37"/>
    <mergeCell ref="A54:B54"/>
    <mergeCell ref="A55:F55"/>
    <mergeCell ref="A59:F59"/>
    <mergeCell ref="A62:B62"/>
    <mergeCell ref="A63:K63"/>
    <mergeCell ref="A65:B65"/>
    <mergeCell ref="A66:K66"/>
  </mergeCells>
  <hyperlinks>
    <hyperlink ref="B41" r:id="rId1"/>
  </hyperlinks>
  <pageMargins left="0.75000000000000011" right="0.75000000000000011" top="1" bottom="1" header="0.5" footer="0.5"/>
  <pageSetup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6"/>
  <sheetViews>
    <sheetView zoomScale="90" zoomScaleNormal="90" workbookViewId="0">
      <pane xSplit="2" ySplit="2" topLeftCell="C3" activePane="bottomRight" state="frozen"/>
      <selection activeCell="D42" sqref="D42"/>
      <selection pane="topRight" activeCell="D42" sqref="D42"/>
      <selection pane="bottomLeft" activeCell="D42" sqref="D42"/>
      <selection pane="bottomRight" activeCell="A42" sqref="A42:F42"/>
    </sheetView>
  </sheetViews>
  <sheetFormatPr defaultColWidth="11" defaultRowHeight="13.5" x14ac:dyDescent="0.25"/>
  <cols>
    <col min="1" max="1" width="10.53515625" style="14" customWidth="1"/>
    <col min="2" max="2" width="70.53515625" style="14" customWidth="1"/>
    <col min="3" max="55" width="15.53515625" style="14" customWidth="1"/>
    <col min="56" max="16384" width="11" style="14"/>
  </cols>
  <sheetData>
    <row r="1" spans="1:56" s="3" customFormat="1" ht="18" thickBot="1" x14ac:dyDescent="0.4">
      <c r="A1" s="2" t="s">
        <v>380</v>
      </c>
      <c r="B1" s="2"/>
      <c r="C1" s="2"/>
      <c r="D1" s="2"/>
      <c r="E1" s="2"/>
      <c r="F1" s="2"/>
    </row>
    <row r="2" spans="1:56" s="7" customFormat="1" ht="14" thickTop="1" x14ac:dyDescent="0.25">
      <c r="B2" s="6" t="s">
        <v>57</v>
      </c>
      <c r="C2" s="7">
        <v>1960</v>
      </c>
      <c r="D2" s="7">
        <v>1961</v>
      </c>
      <c r="E2" s="7">
        <v>1962</v>
      </c>
      <c r="F2" s="7">
        <v>1963</v>
      </c>
      <c r="G2" s="7">
        <v>1964</v>
      </c>
      <c r="H2" s="7">
        <v>1965</v>
      </c>
      <c r="I2" s="7">
        <v>1966</v>
      </c>
      <c r="J2" s="7">
        <v>1967</v>
      </c>
      <c r="K2" s="7">
        <v>1968</v>
      </c>
      <c r="L2" s="7">
        <v>1969</v>
      </c>
      <c r="M2" s="7">
        <v>1970</v>
      </c>
      <c r="N2" s="7">
        <v>1971</v>
      </c>
      <c r="O2" s="7">
        <v>1972</v>
      </c>
      <c r="P2" s="7">
        <v>1973</v>
      </c>
      <c r="Q2" s="7">
        <v>1974</v>
      </c>
      <c r="R2" s="7">
        <v>1975</v>
      </c>
      <c r="S2" s="7">
        <v>1976</v>
      </c>
      <c r="T2" s="7">
        <v>1977</v>
      </c>
      <c r="U2" s="7">
        <v>1978</v>
      </c>
      <c r="V2" s="7">
        <v>1979</v>
      </c>
      <c r="W2" s="7">
        <v>1980</v>
      </c>
      <c r="X2" s="7">
        <v>1981</v>
      </c>
      <c r="Y2" s="7">
        <v>1982</v>
      </c>
      <c r="Z2" s="7">
        <v>1983</v>
      </c>
      <c r="AA2" s="7">
        <v>1984</v>
      </c>
      <c r="AB2" s="7">
        <v>1985</v>
      </c>
      <c r="AC2" s="7">
        <v>1986</v>
      </c>
      <c r="AD2" s="7">
        <v>1987</v>
      </c>
      <c r="AE2" s="7">
        <v>1988</v>
      </c>
      <c r="AF2" s="7">
        <v>1989</v>
      </c>
      <c r="AG2" s="7">
        <v>1990</v>
      </c>
      <c r="AH2" s="7">
        <v>1991</v>
      </c>
      <c r="AI2" s="7">
        <v>1992</v>
      </c>
      <c r="AJ2" s="7">
        <v>1993</v>
      </c>
      <c r="AK2" s="7">
        <v>1994</v>
      </c>
      <c r="AL2" s="7">
        <v>1995</v>
      </c>
      <c r="AM2" s="7">
        <v>1996</v>
      </c>
      <c r="AN2" s="7">
        <v>1997</v>
      </c>
      <c r="AO2" s="7">
        <v>1998</v>
      </c>
      <c r="AP2" s="7">
        <v>1999</v>
      </c>
      <c r="AQ2" s="7">
        <v>2000</v>
      </c>
      <c r="AR2" s="7">
        <v>2001</v>
      </c>
      <c r="AS2" s="7">
        <v>2002</v>
      </c>
      <c r="AT2" s="7">
        <v>2003</v>
      </c>
      <c r="AU2" s="7">
        <v>2004</v>
      </c>
      <c r="AV2" s="7">
        <v>2005</v>
      </c>
      <c r="AW2" s="7">
        <v>2006</v>
      </c>
      <c r="AX2" s="7">
        <v>2007</v>
      </c>
      <c r="AY2" s="7">
        <v>2008</v>
      </c>
      <c r="AZ2" s="7">
        <v>2009</v>
      </c>
      <c r="BA2" s="7">
        <v>2010</v>
      </c>
      <c r="BB2" s="7">
        <v>2011</v>
      </c>
      <c r="BC2" s="7">
        <v>2012</v>
      </c>
      <c r="BD2" s="7">
        <v>2013</v>
      </c>
    </row>
    <row r="3" spans="1:56" s="9" customFormat="1" x14ac:dyDescent="0.25">
      <c r="A3" s="8">
        <v>1</v>
      </c>
      <c r="B3" s="60" t="s">
        <v>381</v>
      </c>
      <c r="C3" s="9">
        <v>3.0129291199999999</v>
      </c>
      <c r="D3" s="9">
        <v>3.0697121599999955</v>
      </c>
      <c r="E3" s="9">
        <v>3.1264951999999959</v>
      </c>
      <c r="F3" s="9">
        <v>3.1832782399999959</v>
      </c>
      <c r="G3" s="9">
        <v>3.2400612799999964</v>
      </c>
      <c r="H3" s="9">
        <v>3.2968443199999964</v>
      </c>
      <c r="I3" s="9">
        <v>3.3536273599999968</v>
      </c>
      <c r="J3" s="9">
        <v>3.4104103999999968</v>
      </c>
      <c r="K3" s="9">
        <v>3.4671934399999973</v>
      </c>
      <c r="L3" s="9">
        <v>3.5239764799999977</v>
      </c>
      <c r="M3" s="9">
        <v>3.5807595199999978</v>
      </c>
      <c r="N3" s="9">
        <v>3.6375425599999982</v>
      </c>
      <c r="O3" s="9">
        <v>3.6943255999999982</v>
      </c>
      <c r="P3" s="9">
        <v>3.7511086399999987</v>
      </c>
      <c r="Q3" s="9">
        <v>3.8078916799999987</v>
      </c>
      <c r="R3" s="9">
        <v>3.8646747199999991</v>
      </c>
      <c r="S3" s="9">
        <v>3.9214577599999991</v>
      </c>
      <c r="T3" s="9">
        <v>3.9782407999999996</v>
      </c>
      <c r="U3" s="9">
        <v>4.2227144000000001</v>
      </c>
      <c r="V3" s="9">
        <v>4.0648783999999996</v>
      </c>
      <c r="W3" s="9">
        <v>4.0623800000000001</v>
      </c>
      <c r="X3" s="9">
        <v>4.1369823999999999</v>
      </c>
      <c r="Y3" s="9">
        <v>3.9819312</v>
      </c>
      <c r="Z3" s="9">
        <v>4.1539535999999995</v>
      </c>
      <c r="AA3" s="9">
        <v>4.3682240000000006</v>
      </c>
      <c r="AB3" s="9">
        <v>4.5557336000000008</v>
      </c>
      <c r="AC3" s="9">
        <v>4.5569416</v>
      </c>
      <c r="AD3" s="9">
        <v>4.5460712000000001</v>
      </c>
      <c r="AE3" s="9">
        <v>4.4761495999999994</v>
      </c>
      <c r="AF3" s="9">
        <v>4.3672640000000005</v>
      </c>
      <c r="AG3" s="9">
        <v>4.2205623999999995</v>
      </c>
      <c r="AH3" s="9">
        <v>3.9038168</v>
      </c>
      <c r="AI3" s="9">
        <v>4.0776808000000004</v>
      </c>
      <c r="AJ3" s="9">
        <v>3.2988320000000004</v>
      </c>
      <c r="AK3" s="9">
        <v>3.7505687999999995</v>
      </c>
      <c r="AL3" s="9">
        <v>3.7189007999999997</v>
      </c>
      <c r="AM3" s="9">
        <v>3.6540895999999998</v>
      </c>
      <c r="AN3" s="9">
        <v>3.5184567999999996</v>
      </c>
      <c r="AO3" s="9">
        <v>3.3376343999999998</v>
      </c>
      <c r="AP3" s="9">
        <v>3.3325527999999993</v>
      </c>
      <c r="AQ3" s="9">
        <v>3.3371239999999998</v>
      </c>
      <c r="AR3" s="9">
        <v>3.4366455999999999</v>
      </c>
      <c r="AS3" s="9">
        <v>3.4469511999999995</v>
      </c>
      <c r="AT3" s="9">
        <v>3.4291824000000006</v>
      </c>
      <c r="AU3" s="9">
        <v>3.3597640000000002</v>
      </c>
      <c r="AV3" s="9">
        <v>3.2477527999999998</v>
      </c>
      <c r="AW3" s="9">
        <v>3.2248920000000001</v>
      </c>
      <c r="AX3" s="9">
        <v>3.1209863999999996</v>
      </c>
      <c r="AY3" s="9">
        <v>2.9349495999999999</v>
      </c>
      <c r="AZ3" s="9">
        <v>2.8768528</v>
      </c>
      <c r="BA3" s="9">
        <f>BA16</f>
        <v>2.6771343999999999</v>
      </c>
      <c r="BB3" s="9">
        <f>BB16</f>
        <v>2.6663832000000003</v>
      </c>
      <c r="BC3" s="9">
        <f>BC16</f>
        <v>2.6823847999999999</v>
      </c>
      <c r="BD3" s="9">
        <f>BD16</f>
        <v>2.6185407999999999</v>
      </c>
    </row>
    <row r="4" spans="1:56" s="11" customFormat="1" x14ac:dyDescent="0.25">
      <c r="A4" s="8">
        <v>2</v>
      </c>
      <c r="B4" s="51" t="s">
        <v>382</v>
      </c>
      <c r="T4" s="11">
        <v>673</v>
      </c>
      <c r="U4" s="11">
        <v>729</v>
      </c>
      <c r="V4" s="11">
        <v>700</v>
      </c>
      <c r="W4" s="11">
        <v>782</v>
      </c>
      <c r="X4" s="11">
        <v>793</v>
      </c>
      <c r="Y4" s="11">
        <v>660</v>
      </c>
      <c r="Z4" s="11">
        <v>663</v>
      </c>
      <c r="AA4" s="11">
        <v>650</v>
      </c>
      <c r="AB4" s="11">
        <v>740</v>
      </c>
      <c r="AC4" s="11">
        <v>790</v>
      </c>
      <c r="AD4" s="11">
        <v>830</v>
      </c>
      <c r="AE4" s="11">
        <v>794</v>
      </c>
      <c r="AF4" s="11">
        <v>749</v>
      </c>
      <c r="AG4" s="11">
        <v>727</v>
      </c>
      <c r="AH4" s="11">
        <v>710</v>
      </c>
      <c r="AI4" s="11">
        <v>664</v>
      </c>
      <c r="AJ4" s="11">
        <v>671</v>
      </c>
      <c r="AK4" s="11">
        <v>657</v>
      </c>
      <c r="AL4" s="11">
        <v>684</v>
      </c>
      <c r="AM4" s="11">
        <v>614</v>
      </c>
      <c r="AN4" s="11">
        <v>610</v>
      </c>
      <c r="AO4" s="11">
        <v>606</v>
      </c>
      <c r="AP4" s="11">
        <v>598</v>
      </c>
      <c r="AQ4" s="11">
        <v>617</v>
      </c>
      <c r="AR4" s="11">
        <v>661</v>
      </c>
      <c r="AS4" s="11">
        <v>661</v>
      </c>
      <c r="AT4" s="11">
        <v>651</v>
      </c>
      <c r="AU4" s="11">
        <v>643</v>
      </c>
      <c r="AV4" s="11">
        <v>614</v>
      </c>
      <c r="AW4" s="11">
        <v>651</v>
      </c>
      <c r="AX4" s="11">
        <v>615</v>
      </c>
      <c r="AY4" s="11">
        <v>592</v>
      </c>
      <c r="AZ4" s="11">
        <v>550</v>
      </c>
      <c r="BA4" s="11">
        <f>BA19</f>
        <v>496</v>
      </c>
      <c r="BB4" s="11">
        <f>BB19</f>
        <v>486</v>
      </c>
      <c r="BC4" s="11">
        <f>BC19</f>
        <v>511</v>
      </c>
      <c r="BD4" s="11">
        <f>BD19</f>
        <v>466</v>
      </c>
    </row>
    <row r="5" spans="1:56" s="11" customFormat="1" x14ac:dyDescent="0.25">
      <c r="A5" s="8">
        <v>3</v>
      </c>
      <c r="B5" s="51" t="s">
        <v>383</v>
      </c>
      <c r="T5" s="11">
        <v>70501</v>
      </c>
      <c r="U5" s="11">
        <v>74493</v>
      </c>
      <c r="V5" s="11">
        <v>73626</v>
      </c>
      <c r="W5" s="11">
        <v>70459</v>
      </c>
      <c r="X5" s="11">
        <v>72724</v>
      </c>
      <c r="Y5" s="11">
        <v>71990</v>
      </c>
      <c r="Z5" s="11">
        <v>76334</v>
      </c>
      <c r="AA5" s="11">
        <v>81788</v>
      </c>
      <c r="AB5" s="11">
        <v>84483</v>
      </c>
      <c r="AC5" s="11">
        <v>84649</v>
      </c>
      <c r="AD5" s="11">
        <v>85265</v>
      </c>
      <c r="AE5" s="11">
        <v>84923</v>
      </c>
      <c r="AF5" s="11">
        <v>83432</v>
      </c>
      <c r="AG5" s="11">
        <v>81123</v>
      </c>
      <c r="AH5" s="11">
        <v>74375</v>
      </c>
      <c r="AI5" s="11">
        <v>80593</v>
      </c>
      <c r="AJ5" s="11">
        <v>63232</v>
      </c>
      <c r="AK5" s="11">
        <v>71307</v>
      </c>
      <c r="AL5" s="11">
        <v>69442</v>
      </c>
      <c r="AM5" s="11">
        <v>69052</v>
      </c>
      <c r="AN5" s="11">
        <v>65587</v>
      </c>
      <c r="AO5" s="11">
        <v>60751</v>
      </c>
      <c r="AP5" s="11">
        <v>59979</v>
      </c>
      <c r="AQ5" s="11">
        <v>58885</v>
      </c>
      <c r="AR5" s="11">
        <v>60051</v>
      </c>
      <c r="AS5" s="11">
        <v>59517</v>
      </c>
      <c r="AT5" s="11">
        <v>58118</v>
      </c>
      <c r="AU5" s="11">
        <v>57409</v>
      </c>
      <c r="AV5" s="11">
        <v>55287</v>
      </c>
      <c r="AW5" s="11">
        <v>53615</v>
      </c>
      <c r="AX5" s="11">
        <v>51729</v>
      </c>
      <c r="AY5" s="11">
        <v>48143</v>
      </c>
      <c r="AZ5" s="11">
        <v>47330</v>
      </c>
      <c r="BA5" s="11">
        <f>BA21</f>
        <v>44426</v>
      </c>
      <c r="BB5" s="11">
        <f>BB21</f>
        <v>44487</v>
      </c>
      <c r="BC5" s="11">
        <f>BC21</f>
        <v>44033</v>
      </c>
      <c r="BD5" s="11">
        <f>BD21</f>
        <v>42716</v>
      </c>
    </row>
    <row r="6" spans="1:56" s="11" customFormat="1" x14ac:dyDescent="0.25">
      <c r="A6" s="8">
        <v>4</v>
      </c>
      <c r="B6" s="51" t="s">
        <v>384</v>
      </c>
      <c r="T6" s="11">
        <v>117352</v>
      </c>
      <c r="U6" s="11">
        <v>124136</v>
      </c>
      <c r="V6" s="11">
        <v>108991</v>
      </c>
      <c r="W6" s="11">
        <v>113295</v>
      </c>
      <c r="X6" s="11">
        <v>110451</v>
      </c>
      <c r="Y6" s="11">
        <v>111633</v>
      </c>
      <c r="Z6" s="11">
        <v>113596.5</v>
      </c>
      <c r="AA6" s="11">
        <v>118477.5</v>
      </c>
      <c r="AB6" s="11">
        <v>118216.5</v>
      </c>
      <c r="AC6" s="11">
        <v>109471.5</v>
      </c>
      <c r="AD6" s="11">
        <v>97908</v>
      </c>
      <c r="AE6" s="11">
        <v>94666.5</v>
      </c>
      <c r="AF6" s="11">
        <v>93240</v>
      </c>
      <c r="AG6" s="11">
        <v>86826</v>
      </c>
      <c r="AH6" s="11">
        <v>78012</v>
      </c>
      <c r="AI6" s="11">
        <v>77562</v>
      </c>
      <c r="AJ6" s="11">
        <v>52402.5</v>
      </c>
      <c r="AK6" s="11">
        <v>79804.5</v>
      </c>
      <c r="AL6" s="11">
        <v>81027</v>
      </c>
      <c r="AM6" s="11">
        <v>84294</v>
      </c>
      <c r="AN6" s="11">
        <v>83232</v>
      </c>
      <c r="AO6" s="11">
        <v>82821</v>
      </c>
      <c r="AP6" s="11">
        <v>87649.5</v>
      </c>
      <c r="AQ6" s="11">
        <v>91477.5</v>
      </c>
      <c r="AR6" s="11">
        <v>93429</v>
      </c>
      <c r="AS6" s="11">
        <v>98043</v>
      </c>
      <c r="AT6" s="11">
        <v>104736</v>
      </c>
      <c r="AU6" s="11">
        <v>99157.5</v>
      </c>
      <c r="AV6" s="11">
        <v>98232</v>
      </c>
      <c r="AW6" s="11">
        <v>98145</v>
      </c>
      <c r="AX6" s="11">
        <v>98278.5</v>
      </c>
      <c r="AY6" s="11">
        <v>93061.5</v>
      </c>
      <c r="AZ6" s="11">
        <v>95277</v>
      </c>
      <c r="BA6" s="11">
        <f>BA23</f>
        <v>89046</v>
      </c>
      <c r="BB6" s="11">
        <f>BB23</f>
        <v>88623</v>
      </c>
      <c r="BC6" s="11">
        <f>BC23</f>
        <v>89677</v>
      </c>
      <c r="BD6" s="11">
        <f>BD23</f>
        <v>94309.5</v>
      </c>
    </row>
    <row r="7" spans="1:56" s="38" customFormat="1" x14ac:dyDescent="0.25">
      <c r="B7" s="104"/>
    </row>
    <row r="8" spans="1:56" s="38" customFormat="1" x14ac:dyDescent="0.25">
      <c r="A8" s="125" t="s">
        <v>5</v>
      </c>
      <c r="B8" s="125"/>
    </row>
    <row r="9" spans="1:56" s="38" customFormat="1" x14ac:dyDescent="0.25">
      <c r="A9" s="38">
        <v>1</v>
      </c>
      <c r="B9" s="14" t="s">
        <v>385</v>
      </c>
    </row>
    <row r="10" spans="1:56" s="38" customFormat="1" x14ac:dyDescent="0.25">
      <c r="A10" s="38">
        <v>2</v>
      </c>
      <c r="B10" s="14" t="s">
        <v>386</v>
      </c>
    </row>
    <row r="11" spans="1:56" s="38" customFormat="1" x14ac:dyDescent="0.25">
      <c r="A11" s="38">
        <v>3</v>
      </c>
      <c r="B11" s="14" t="s">
        <v>386</v>
      </c>
    </row>
    <row r="12" spans="1:56" s="38" customFormat="1" x14ac:dyDescent="0.25">
      <c r="A12" s="38">
        <v>4</v>
      </c>
      <c r="B12" s="14" t="s">
        <v>387</v>
      </c>
    </row>
    <row r="13" spans="1:56" s="38" customFormat="1" x14ac:dyDescent="0.25">
      <c r="B13" s="104"/>
    </row>
    <row r="14" spans="1:56" s="38" customFormat="1" x14ac:dyDescent="0.25">
      <c r="B14" s="104"/>
    </row>
    <row r="15" spans="1:56" s="38" customFormat="1" ht="14" x14ac:dyDescent="0.3">
      <c r="A15" s="125" t="s">
        <v>10</v>
      </c>
      <c r="B15" s="145"/>
    </row>
    <row r="16" spans="1:56" s="18" customFormat="1" x14ac:dyDescent="0.25">
      <c r="A16" s="18">
        <v>1</v>
      </c>
      <c r="B16" s="18" t="s">
        <v>388</v>
      </c>
      <c r="C16" s="18">
        <f>C17/1000</f>
        <v>3.012929119999995</v>
      </c>
      <c r="D16" s="18">
        <f t="shared" ref="D16:BD16" si="0">D17/1000</f>
        <v>3.0697121599999955</v>
      </c>
      <c r="E16" s="18">
        <f t="shared" si="0"/>
        <v>3.1264951999999959</v>
      </c>
      <c r="F16" s="18">
        <f t="shared" si="0"/>
        <v>3.1832782399999959</v>
      </c>
      <c r="G16" s="18">
        <f t="shared" si="0"/>
        <v>3.2400612799999964</v>
      </c>
      <c r="H16" s="18">
        <f t="shared" si="0"/>
        <v>3.2968443199999964</v>
      </c>
      <c r="I16" s="18">
        <f t="shared" si="0"/>
        <v>3.3536273599999968</v>
      </c>
      <c r="J16" s="18">
        <f t="shared" si="0"/>
        <v>3.4104103999999968</v>
      </c>
      <c r="K16" s="18">
        <f t="shared" si="0"/>
        <v>3.4671934399999973</v>
      </c>
      <c r="L16" s="18">
        <f t="shared" si="0"/>
        <v>3.5239764799999977</v>
      </c>
      <c r="M16" s="18">
        <f t="shared" si="0"/>
        <v>3.5807595199999978</v>
      </c>
      <c r="N16" s="18">
        <f t="shared" si="0"/>
        <v>3.6375425599999982</v>
      </c>
      <c r="O16" s="18">
        <f t="shared" si="0"/>
        <v>3.6943255999999982</v>
      </c>
      <c r="P16" s="18">
        <f t="shared" si="0"/>
        <v>3.7511086399999987</v>
      </c>
      <c r="Q16" s="18">
        <f t="shared" si="0"/>
        <v>3.8078916799999987</v>
      </c>
      <c r="R16" s="18">
        <f t="shared" si="0"/>
        <v>3.8646747199999991</v>
      </c>
      <c r="S16" s="18">
        <f t="shared" si="0"/>
        <v>3.9214577599999991</v>
      </c>
      <c r="T16" s="18">
        <f t="shared" si="0"/>
        <v>3.9782407999999996</v>
      </c>
      <c r="U16" s="18">
        <f t="shared" si="0"/>
        <v>4.2227144000000001</v>
      </c>
      <c r="V16" s="18">
        <f t="shared" si="0"/>
        <v>4.0648783999999996</v>
      </c>
      <c r="W16" s="18">
        <f t="shared" si="0"/>
        <v>4.0623800000000001</v>
      </c>
      <c r="X16" s="18">
        <f t="shared" si="0"/>
        <v>4.1369823999999999</v>
      </c>
      <c r="Y16" s="18">
        <f t="shared" si="0"/>
        <v>3.9819312</v>
      </c>
      <c r="Z16" s="18">
        <f t="shared" si="0"/>
        <v>4.1539535999999995</v>
      </c>
      <c r="AA16" s="18">
        <f t="shared" si="0"/>
        <v>4.3682240000000006</v>
      </c>
      <c r="AB16" s="18">
        <f t="shared" si="0"/>
        <v>4.5557336000000008</v>
      </c>
      <c r="AC16" s="18">
        <f t="shared" si="0"/>
        <v>4.5569416</v>
      </c>
      <c r="AD16" s="18">
        <f t="shared" si="0"/>
        <v>4.5460712000000001</v>
      </c>
      <c r="AE16" s="18">
        <f t="shared" si="0"/>
        <v>4.4761495999999994</v>
      </c>
      <c r="AF16" s="18">
        <f t="shared" si="0"/>
        <v>4.3672640000000005</v>
      </c>
      <c r="AG16" s="18">
        <f t="shared" si="0"/>
        <v>4.2205623999999995</v>
      </c>
      <c r="AH16" s="18">
        <f t="shared" si="0"/>
        <v>3.9038168</v>
      </c>
      <c r="AI16" s="18">
        <f t="shared" si="0"/>
        <v>4.0776808000000004</v>
      </c>
      <c r="AJ16" s="18">
        <f t="shared" si="0"/>
        <v>3.2988320000000004</v>
      </c>
      <c r="AK16" s="18">
        <f t="shared" si="0"/>
        <v>3.7505687999999995</v>
      </c>
      <c r="AL16" s="18">
        <f t="shared" si="0"/>
        <v>3.7189007999999997</v>
      </c>
      <c r="AM16" s="18">
        <f t="shared" si="0"/>
        <v>3.6540895999999998</v>
      </c>
      <c r="AN16" s="18">
        <f t="shared" si="0"/>
        <v>3.5184567999999996</v>
      </c>
      <c r="AO16" s="18">
        <f t="shared" si="0"/>
        <v>3.3376343999999998</v>
      </c>
      <c r="AP16" s="18">
        <f t="shared" si="0"/>
        <v>3.3325527999999993</v>
      </c>
      <c r="AQ16" s="18">
        <f t="shared" si="0"/>
        <v>3.3371239999999998</v>
      </c>
      <c r="AR16" s="18">
        <f t="shared" si="0"/>
        <v>3.4366455999999999</v>
      </c>
      <c r="AS16" s="18">
        <f t="shared" si="0"/>
        <v>3.4469511999999995</v>
      </c>
      <c r="AT16" s="18">
        <f t="shared" si="0"/>
        <v>3.4291824000000006</v>
      </c>
      <c r="AU16" s="18">
        <f t="shared" si="0"/>
        <v>3.3597640000000002</v>
      </c>
      <c r="AV16" s="18">
        <f t="shared" si="0"/>
        <v>3.2477527999999998</v>
      </c>
      <c r="AW16" s="18">
        <f t="shared" si="0"/>
        <v>3.2248920000000001</v>
      </c>
      <c r="AX16" s="18">
        <f t="shared" si="0"/>
        <v>3.1209863999999996</v>
      </c>
      <c r="AY16" s="18">
        <f t="shared" si="0"/>
        <v>2.9349495999999999</v>
      </c>
      <c r="AZ16" s="18">
        <f t="shared" si="0"/>
        <v>2.8768528</v>
      </c>
      <c r="BA16" s="18">
        <f t="shared" si="0"/>
        <v>2.6771343999999999</v>
      </c>
      <c r="BB16" s="18">
        <f t="shared" si="0"/>
        <v>2.6663832000000003</v>
      </c>
      <c r="BC16" s="18">
        <f t="shared" si="0"/>
        <v>2.6823847999999999</v>
      </c>
      <c r="BD16" s="18">
        <f t="shared" si="0"/>
        <v>2.6185407999999999</v>
      </c>
    </row>
    <row r="17" spans="1:56" s="21" customFormat="1" x14ac:dyDescent="0.25">
      <c r="A17" s="21">
        <v>2</v>
      </c>
      <c r="B17" s="21" t="s">
        <v>389</v>
      </c>
      <c r="C17" s="21">
        <f t="shared" ref="C17:R17" si="1">D17-($AD17-$T17)/10</f>
        <v>3012.9291199999952</v>
      </c>
      <c r="D17" s="21">
        <f t="shared" si="1"/>
        <v>3069.7121599999955</v>
      </c>
      <c r="E17" s="21">
        <f t="shared" si="1"/>
        <v>3126.4951999999957</v>
      </c>
      <c r="F17" s="21">
        <f t="shared" si="1"/>
        <v>3183.278239999996</v>
      </c>
      <c r="G17" s="21">
        <f t="shared" si="1"/>
        <v>3240.0612799999963</v>
      </c>
      <c r="H17" s="21">
        <f t="shared" si="1"/>
        <v>3296.8443199999965</v>
      </c>
      <c r="I17" s="21">
        <f t="shared" si="1"/>
        <v>3353.6273599999968</v>
      </c>
      <c r="J17" s="21">
        <f t="shared" si="1"/>
        <v>3410.410399999997</v>
      </c>
      <c r="K17" s="21">
        <f t="shared" si="1"/>
        <v>3467.1934399999973</v>
      </c>
      <c r="L17" s="21">
        <f t="shared" si="1"/>
        <v>3523.9764799999975</v>
      </c>
      <c r="M17" s="21">
        <f t="shared" si="1"/>
        <v>3580.7595199999978</v>
      </c>
      <c r="N17" s="21">
        <f t="shared" si="1"/>
        <v>3637.542559999998</v>
      </c>
      <c r="O17" s="21">
        <f t="shared" si="1"/>
        <v>3694.3255999999983</v>
      </c>
      <c r="P17" s="21">
        <f t="shared" si="1"/>
        <v>3751.1086399999986</v>
      </c>
      <c r="Q17" s="21">
        <f t="shared" si="1"/>
        <v>3807.8916799999988</v>
      </c>
      <c r="R17" s="21">
        <f t="shared" si="1"/>
        <v>3864.6747199999991</v>
      </c>
      <c r="S17" s="21">
        <f>T17-($AD17-$T17)/10</f>
        <v>3921.4577599999993</v>
      </c>
      <c r="T17" s="21">
        <f>1.024*T19+0.036*T21+0.0064*T23</f>
        <v>3978.2407999999996</v>
      </c>
      <c r="U17" s="21">
        <f t="shared" ref="U17:AY17" si="2">1.024*U19+0.036*U21+0.0064*U23</f>
        <v>4222.7143999999998</v>
      </c>
      <c r="V17" s="21">
        <f t="shared" si="2"/>
        <v>4064.8783999999996</v>
      </c>
      <c r="W17" s="21">
        <f t="shared" si="2"/>
        <v>4062.38</v>
      </c>
      <c r="X17" s="21">
        <f t="shared" si="2"/>
        <v>4136.9823999999999</v>
      </c>
      <c r="Y17" s="21">
        <f t="shared" si="2"/>
        <v>3981.9312</v>
      </c>
      <c r="Z17" s="21">
        <f t="shared" si="2"/>
        <v>4153.9535999999998</v>
      </c>
      <c r="AA17" s="21">
        <f t="shared" si="2"/>
        <v>4368.2240000000002</v>
      </c>
      <c r="AB17" s="21">
        <f t="shared" si="2"/>
        <v>4555.7336000000005</v>
      </c>
      <c r="AC17" s="21">
        <f t="shared" si="2"/>
        <v>4556.9416000000001</v>
      </c>
      <c r="AD17" s="21">
        <f t="shared" si="2"/>
        <v>4546.0712000000003</v>
      </c>
      <c r="AE17" s="21">
        <f t="shared" si="2"/>
        <v>4476.1495999999997</v>
      </c>
      <c r="AF17" s="21">
        <f t="shared" si="2"/>
        <v>4367.2640000000001</v>
      </c>
      <c r="AG17" s="21">
        <f t="shared" si="2"/>
        <v>4220.5623999999998</v>
      </c>
      <c r="AH17" s="21">
        <f t="shared" si="2"/>
        <v>3903.8168000000001</v>
      </c>
      <c r="AI17" s="21">
        <f t="shared" si="2"/>
        <v>4077.6808000000001</v>
      </c>
      <c r="AJ17" s="21">
        <f t="shared" si="2"/>
        <v>3298.8320000000003</v>
      </c>
      <c r="AK17" s="21">
        <f t="shared" si="2"/>
        <v>3750.5687999999996</v>
      </c>
      <c r="AL17" s="21">
        <f t="shared" si="2"/>
        <v>3718.9007999999999</v>
      </c>
      <c r="AM17" s="21">
        <f t="shared" si="2"/>
        <v>3654.0895999999998</v>
      </c>
      <c r="AN17" s="21">
        <f t="shared" si="2"/>
        <v>3518.4567999999995</v>
      </c>
      <c r="AO17" s="21">
        <f t="shared" si="2"/>
        <v>3337.6343999999999</v>
      </c>
      <c r="AP17" s="21">
        <f t="shared" si="2"/>
        <v>3332.5527999999995</v>
      </c>
      <c r="AQ17" s="21">
        <f t="shared" si="2"/>
        <v>3337.1239999999998</v>
      </c>
      <c r="AR17" s="21">
        <f t="shared" si="2"/>
        <v>3436.6455999999998</v>
      </c>
      <c r="AS17" s="21">
        <f t="shared" si="2"/>
        <v>3446.9511999999995</v>
      </c>
      <c r="AT17" s="21">
        <f t="shared" si="2"/>
        <v>3429.1824000000006</v>
      </c>
      <c r="AU17" s="21">
        <f t="shared" si="2"/>
        <v>3359.7640000000001</v>
      </c>
      <c r="AV17" s="21">
        <f t="shared" si="2"/>
        <v>3247.7527999999998</v>
      </c>
      <c r="AW17" s="21">
        <f t="shared" si="2"/>
        <v>3224.8920000000003</v>
      </c>
      <c r="AX17" s="21">
        <f t="shared" si="2"/>
        <v>3120.9863999999998</v>
      </c>
      <c r="AY17" s="21">
        <f t="shared" si="2"/>
        <v>2934.9495999999999</v>
      </c>
      <c r="AZ17" s="21">
        <f>1.024*AZ19+0.036*AZ21+0.0064*AZ23</f>
        <v>2876.8528000000001</v>
      </c>
      <c r="BA17" s="21">
        <f>1.024*BA19+0.036*BA21+0.0064*BA23</f>
        <v>2677.1343999999999</v>
      </c>
      <c r="BB17" s="21">
        <f>1.024*BB19+0.036*BB21+0.0064*BB23</f>
        <v>2666.3832000000002</v>
      </c>
      <c r="BC17" s="21">
        <f>1.024*BC19+0.036*BC21+0.0064*BC23</f>
        <v>2682.3847999999998</v>
      </c>
      <c r="BD17" s="21">
        <f>1.024*BD19+0.036*BD21+0.0064*BD23</f>
        <v>2618.5407999999998</v>
      </c>
    </row>
    <row r="18" spans="1:56" s="21" customFormat="1" x14ac:dyDescent="0.25">
      <c r="A18" s="21">
        <v>3</v>
      </c>
      <c r="B18" s="21" t="s">
        <v>390</v>
      </c>
      <c r="T18" s="21">
        <v>614</v>
      </c>
      <c r="U18" s="21">
        <v>661</v>
      </c>
      <c r="V18" s="21">
        <v>629</v>
      </c>
      <c r="W18" s="21">
        <v>705</v>
      </c>
      <c r="X18" s="21">
        <v>701</v>
      </c>
      <c r="Y18" s="21">
        <v>595</v>
      </c>
      <c r="Z18" s="21">
        <v>613</v>
      </c>
      <c r="AA18" s="21">
        <v>592</v>
      </c>
      <c r="AB18" s="21">
        <v>666</v>
      </c>
      <c r="AC18" s="21">
        <v>725</v>
      </c>
      <c r="AD18" s="21">
        <v>745</v>
      </c>
      <c r="AE18" s="21">
        <v>723</v>
      </c>
      <c r="AF18" s="21">
        <v>676</v>
      </c>
      <c r="AG18" s="21">
        <v>681</v>
      </c>
      <c r="AH18" s="21">
        <v>646</v>
      </c>
      <c r="AI18" s="21">
        <v>593</v>
      </c>
      <c r="AJ18" s="21">
        <v>604</v>
      </c>
      <c r="AK18" s="21">
        <v>605</v>
      </c>
      <c r="AL18" s="21">
        <v>614</v>
      </c>
      <c r="AM18" s="21">
        <v>563</v>
      </c>
      <c r="AN18" s="21">
        <v>570</v>
      </c>
      <c r="AO18" s="21">
        <v>551</v>
      </c>
      <c r="AP18" s="21">
        <v>555</v>
      </c>
      <c r="AQ18" s="21">
        <v>574</v>
      </c>
      <c r="AR18" s="21">
        <v>602</v>
      </c>
      <c r="AS18" s="21">
        <v>606</v>
      </c>
      <c r="AT18" s="21">
        <v>596</v>
      </c>
      <c r="AU18" s="21">
        <v>576</v>
      </c>
      <c r="AV18" s="21">
        <v>577</v>
      </c>
      <c r="AW18" s="21">
        <v>593</v>
      </c>
      <c r="AX18" s="21">
        <v>558</v>
      </c>
      <c r="AY18" s="21">
        <v>539</v>
      </c>
      <c r="AZ18" s="21">
        <v>516</v>
      </c>
      <c r="BA18" s="21">
        <v>463</v>
      </c>
      <c r="BB18" s="21">
        <v>457</v>
      </c>
      <c r="BC18" s="21">
        <v>462</v>
      </c>
    </row>
    <row r="19" spans="1:56" s="18" customFormat="1" x14ac:dyDescent="0.25">
      <c r="A19" s="18">
        <v>4</v>
      </c>
      <c r="B19" s="18" t="s">
        <v>391</v>
      </c>
      <c r="T19" s="18">
        <v>673</v>
      </c>
      <c r="U19" s="18">
        <v>729</v>
      </c>
      <c r="V19" s="18">
        <v>700</v>
      </c>
      <c r="W19" s="18">
        <v>782</v>
      </c>
      <c r="X19" s="18">
        <v>793</v>
      </c>
      <c r="Y19" s="18">
        <v>660</v>
      </c>
      <c r="Z19" s="18">
        <v>663</v>
      </c>
      <c r="AA19" s="18">
        <v>650</v>
      </c>
      <c r="AB19" s="18">
        <v>740</v>
      </c>
      <c r="AC19" s="18">
        <v>790</v>
      </c>
      <c r="AD19" s="18">
        <v>830</v>
      </c>
      <c r="AE19" s="18">
        <v>794</v>
      </c>
      <c r="AF19" s="18">
        <v>749</v>
      </c>
      <c r="AG19" s="18">
        <v>727</v>
      </c>
      <c r="AH19" s="18">
        <v>710</v>
      </c>
      <c r="AI19" s="18">
        <v>664</v>
      </c>
      <c r="AJ19" s="18">
        <v>671</v>
      </c>
      <c r="AK19" s="18">
        <v>657</v>
      </c>
      <c r="AL19" s="18">
        <v>684</v>
      </c>
      <c r="AM19" s="18">
        <v>614</v>
      </c>
      <c r="AN19" s="18">
        <v>610</v>
      </c>
      <c r="AO19" s="18">
        <v>606</v>
      </c>
      <c r="AP19" s="18">
        <v>598</v>
      </c>
      <c r="AQ19" s="18">
        <v>617</v>
      </c>
      <c r="AR19" s="18">
        <v>661</v>
      </c>
      <c r="AS19" s="18">
        <v>661</v>
      </c>
      <c r="AT19" s="18">
        <v>651</v>
      </c>
      <c r="AU19" s="18">
        <v>643</v>
      </c>
      <c r="AV19" s="18">
        <v>614</v>
      </c>
      <c r="AW19" s="18">
        <v>651</v>
      </c>
      <c r="AX19" s="18">
        <v>615</v>
      </c>
      <c r="AY19" s="18">
        <v>592</v>
      </c>
      <c r="AZ19" s="18">
        <v>550</v>
      </c>
      <c r="BA19" s="18">
        <v>496</v>
      </c>
      <c r="BB19" s="18">
        <v>486</v>
      </c>
      <c r="BC19" s="18">
        <v>511</v>
      </c>
      <c r="BD19" s="21">
        <v>466</v>
      </c>
    </row>
    <row r="20" spans="1:56" s="21" customFormat="1" x14ac:dyDescent="0.25">
      <c r="A20" s="21">
        <v>5</v>
      </c>
      <c r="B20" s="21" t="s">
        <v>392</v>
      </c>
      <c r="T20" s="21">
        <v>45495</v>
      </c>
      <c r="U20" s="21">
        <v>48667</v>
      </c>
      <c r="V20" s="21">
        <v>48310</v>
      </c>
      <c r="W20" s="21">
        <v>44909</v>
      </c>
      <c r="X20" s="21">
        <v>45306</v>
      </c>
      <c r="Y20" s="21">
        <v>44288</v>
      </c>
      <c r="Z20" s="21">
        <v>46880</v>
      </c>
      <c r="AA20" s="21">
        <v>50432</v>
      </c>
      <c r="AB20" s="21">
        <v>51749</v>
      </c>
      <c r="AC20" s="21">
        <v>52233</v>
      </c>
      <c r="AD20" s="21">
        <v>51536</v>
      </c>
      <c r="AE20" s="21">
        <v>51409</v>
      </c>
      <c r="AF20" s="21">
        <v>50248</v>
      </c>
      <c r="AG20" s="21">
        <v>48893</v>
      </c>
      <c r="AH20" s="21">
        <v>44801</v>
      </c>
      <c r="AI20" s="21">
        <v>47180</v>
      </c>
      <c r="AJ20" s="21">
        <v>35883</v>
      </c>
      <c r="AK20" s="21">
        <v>43044</v>
      </c>
      <c r="AL20" s="21">
        <v>42022</v>
      </c>
      <c r="AM20" s="21">
        <v>42589</v>
      </c>
      <c r="AN20" s="21">
        <v>40062</v>
      </c>
      <c r="AO20" s="21">
        <v>38274</v>
      </c>
      <c r="AP20" s="21">
        <v>38021</v>
      </c>
      <c r="AQ20" s="21">
        <v>37743</v>
      </c>
      <c r="AR20" s="21">
        <v>38523</v>
      </c>
      <c r="AS20" s="21">
        <v>38875</v>
      </c>
      <c r="AT20" s="21">
        <v>38710</v>
      </c>
      <c r="AU20" s="21">
        <v>37422</v>
      </c>
      <c r="AV20" s="21">
        <v>36543</v>
      </c>
      <c r="AW20" s="21">
        <v>35865</v>
      </c>
      <c r="AX20" s="21">
        <v>34866</v>
      </c>
      <c r="AY20" s="21">
        <v>32769</v>
      </c>
      <c r="AZ20" s="21">
        <v>32358</v>
      </c>
      <c r="BA20" s="21">
        <v>30369</v>
      </c>
      <c r="BB20" s="21">
        <v>30399</v>
      </c>
      <c r="BC20" s="21">
        <v>30239</v>
      </c>
    </row>
    <row r="21" spans="1:56" s="18" customFormat="1" x14ac:dyDescent="0.25">
      <c r="A21" s="18">
        <v>6</v>
      </c>
      <c r="B21" s="18" t="s">
        <v>393</v>
      </c>
      <c r="T21" s="18">
        <v>70501</v>
      </c>
      <c r="U21" s="18">
        <v>74493</v>
      </c>
      <c r="V21" s="18">
        <v>73626</v>
      </c>
      <c r="W21" s="18">
        <v>70459</v>
      </c>
      <c r="X21" s="18">
        <v>72724</v>
      </c>
      <c r="Y21" s="18">
        <v>71990</v>
      </c>
      <c r="Z21" s="18">
        <v>76334</v>
      </c>
      <c r="AA21" s="18">
        <v>81788</v>
      </c>
      <c r="AB21" s="18">
        <v>84483</v>
      </c>
      <c r="AC21" s="18">
        <v>84649</v>
      </c>
      <c r="AD21" s="18">
        <v>85265</v>
      </c>
      <c r="AE21" s="18">
        <v>84923</v>
      </c>
      <c r="AF21" s="18">
        <v>83432</v>
      </c>
      <c r="AG21" s="18">
        <v>81123</v>
      </c>
      <c r="AH21" s="18">
        <v>74375</v>
      </c>
      <c r="AI21" s="18">
        <v>80593</v>
      </c>
      <c r="AJ21" s="18">
        <v>63232</v>
      </c>
      <c r="AK21" s="18">
        <v>71307</v>
      </c>
      <c r="AL21" s="18">
        <v>69442</v>
      </c>
      <c r="AM21" s="18">
        <v>69052</v>
      </c>
      <c r="AN21" s="18">
        <v>65587</v>
      </c>
      <c r="AO21" s="18">
        <v>60751</v>
      </c>
      <c r="AP21" s="18">
        <v>59979</v>
      </c>
      <c r="AQ21" s="18">
        <v>58885</v>
      </c>
      <c r="AR21" s="18">
        <v>60051</v>
      </c>
      <c r="AS21" s="18">
        <v>59517</v>
      </c>
      <c r="AT21" s="18">
        <v>58118</v>
      </c>
      <c r="AU21" s="18">
        <v>57409</v>
      </c>
      <c r="AV21" s="18">
        <v>55287</v>
      </c>
      <c r="AW21" s="18">
        <v>53615</v>
      </c>
      <c r="AX21" s="18">
        <v>51729</v>
      </c>
      <c r="AY21" s="18">
        <v>48143</v>
      </c>
      <c r="AZ21" s="18">
        <v>47330</v>
      </c>
      <c r="BA21" s="18">
        <v>44426</v>
      </c>
      <c r="BB21" s="18">
        <v>44487</v>
      </c>
      <c r="BC21" s="18">
        <v>44033</v>
      </c>
      <c r="BD21" s="18">
        <v>42716</v>
      </c>
    </row>
    <row r="22" spans="1:56" s="21" customFormat="1" x14ac:dyDescent="0.25">
      <c r="A22" s="21">
        <v>7</v>
      </c>
      <c r="B22" s="21" t="s">
        <v>394</v>
      </c>
      <c r="T22" s="21">
        <v>117352</v>
      </c>
      <c r="U22" s="21">
        <v>124136</v>
      </c>
      <c r="V22" s="21">
        <v>108991</v>
      </c>
      <c r="W22" s="21">
        <v>75530</v>
      </c>
      <c r="X22" s="21">
        <v>73634</v>
      </c>
      <c r="Y22" s="21">
        <v>74422</v>
      </c>
      <c r="Z22" s="21">
        <v>75731</v>
      </c>
      <c r="AA22" s="21">
        <v>78985</v>
      </c>
      <c r="AB22" s="21">
        <v>78811</v>
      </c>
      <c r="AC22" s="21">
        <v>72981</v>
      </c>
      <c r="AD22" s="21">
        <v>65272</v>
      </c>
      <c r="AE22" s="21">
        <v>63111</v>
      </c>
      <c r="AF22" s="21">
        <v>62160</v>
      </c>
      <c r="AG22" s="21">
        <v>57884</v>
      </c>
      <c r="AH22" s="21">
        <v>52008</v>
      </c>
      <c r="AI22" s="21">
        <v>51708</v>
      </c>
      <c r="AJ22" s="21">
        <v>34935</v>
      </c>
      <c r="AK22" s="21">
        <v>53203</v>
      </c>
      <c r="AL22" s="21">
        <v>54018</v>
      </c>
      <c r="AM22" s="21">
        <v>56196</v>
      </c>
      <c r="AN22" s="21">
        <v>55488</v>
      </c>
      <c r="AO22" s="21">
        <v>55214</v>
      </c>
      <c r="AP22" s="21">
        <v>58433</v>
      </c>
      <c r="AQ22" s="21">
        <v>60985</v>
      </c>
      <c r="AR22" s="21">
        <v>62286</v>
      </c>
      <c r="AS22" s="21">
        <v>65362</v>
      </c>
      <c r="AT22" s="21">
        <v>69824</v>
      </c>
      <c r="AU22" s="21">
        <v>66105</v>
      </c>
      <c r="AV22" s="21">
        <v>65488</v>
      </c>
      <c r="AW22" s="21">
        <v>65430</v>
      </c>
      <c r="AX22" s="21">
        <v>65519</v>
      </c>
      <c r="AY22" s="21">
        <v>62041</v>
      </c>
      <c r="AZ22" s="21">
        <v>63518</v>
      </c>
      <c r="BA22" s="21">
        <v>59364</v>
      </c>
      <c r="BB22" s="21">
        <v>59082</v>
      </c>
      <c r="BC22" s="21">
        <v>58976</v>
      </c>
      <c r="BD22" s="21">
        <v>62873</v>
      </c>
    </row>
    <row r="23" spans="1:56" s="18" customFormat="1" x14ac:dyDescent="0.25">
      <c r="A23" s="18">
        <v>8</v>
      </c>
      <c r="B23" s="18" t="s">
        <v>395</v>
      </c>
      <c r="T23" s="18">
        <v>117352</v>
      </c>
      <c r="U23" s="18">
        <v>124136</v>
      </c>
      <c r="V23" s="18">
        <v>108991</v>
      </c>
      <c r="W23" s="18">
        <f>1.5*W22</f>
        <v>113295</v>
      </c>
      <c r="X23" s="18">
        <f t="shared" ref="X23:BA23" si="3">1.5*X22</f>
        <v>110451</v>
      </c>
      <c r="Y23" s="18">
        <f t="shared" si="3"/>
        <v>111633</v>
      </c>
      <c r="Z23" s="18">
        <f t="shared" si="3"/>
        <v>113596.5</v>
      </c>
      <c r="AA23" s="18">
        <f t="shared" si="3"/>
        <v>118477.5</v>
      </c>
      <c r="AB23" s="18">
        <f t="shared" si="3"/>
        <v>118216.5</v>
      </c>
      <c r="AC23" s="18">
        <f t="shared" si="3"/>
        <v>109471.5</v>
      </c>
      <c r="AD23" s="18">
        <f t="shared" si="3"/>
        <v>97908</v>
      </c>
      <c r="AE23" s="18">
        <f t="shared" si="3"/>
        <v>94666.5</v>
      </c>
      <c r="AF23" s="18">
        <f t="shared" si="3"/>
        <v>93240</v>
      </c>
      <c r="AG23" s="18">
        <f t="shared" si="3"/>
        <v>86826</v>
      </c>
      <c r="AH23" s="18">
        <f t="shared" si="3"/>
        <v>78012</v>
      </c>
      <c r="AI23" s="18">
        <f t="shared" si="3"/>
        <v>77562</v>
      </c>
      <c r="AJ23" s="18">
        <f t="shared" si="3"/>
        <v>52402.5</v>
      </c>
      <c r="AK23" s="18">
        <f t="shared" si="3"/>
        <v>79804.5</v>
      </c>
      <c r="AL23" s="18">
        <f t="shared" si="3"/>
        <v>81027</v>
      </c>
      <c r="AM23" s="18">
        <f t="shared" si="3"/>
        <v>84294</v>
      </c>
      <c r="AN23" s="18">
        <f t="shared" si="3"/>
        <v>83232</v>
      </c>
      <c r="AO23" s="18">
        <f t="shared" si="3"/>
        <v>82821</v>
      </c>
      <c r="AP23" s="18">
        <f t="shared" si="3"/>
        <v>87649.5</v>
      </c>
      <c r="AQ23" s="18">
        <f t="shared" si="3"/>
        <v>91477.5</v>
      </c>
      <c r="AR23" s="18">
        <f t="shared" si="3"/>
        <v>93429</v>
      </c>
      <c r="AS23" s="18">
        <f t="shared" si="3"/>
        <v>98043</v>
      </c>
      <c r="AT23" s="18">
        <f t="shared" si="3"/>
        <v>104736</v>
      </c>
      <c r="AU23" s="18">
        <f t="shared" si="3"/>
        <v>99157.5</v>
      </c>
      <c r="AV23" s="18">
        <f t="shared" si="3"/>
        <v>98232</v>
      </c>
      <c r="AW23" s="18">
        <f t="shared" si="3"/>
        <v>98145</v>
      </c>
      <c r="AX23" s="18">
        <f t="shared" si="3"/>
        <v>98278.5</v>
      </c>
      <c r="AY23" s="18">
        <f t="shared" si="3"/>
        <v>93061.5</v>
      </c>
      <c r="AZ23" s="18">
        <f t="shared" si="3"/>
        <v>95277</v>
      </c>
      <c r="BA23" s="18">
        <f t="shared" si="3"/>
        <v>89046</v>
      </c>
      <c r="BB23" s="18">
        <f>1.5*BB22</f>
        <v>88623</v>
      </c>
      <c r="BC23" s="18">
        <v>89677</v>
      </c>
      <c r="BD23" s="18">
        <f>1.5*BD22</f>
        <v>94309.5</v>
      </c>
    </row>
    <row r="25" spans="1:56" x14ac:dyDescent="0.25">
      <c r="A25" s="125" t="s">
        <v>31</v>
      </c>
      <c r="B25" s="125"/>
    </row>
    <row r="26" spans="1:56" x14ac:dyDescent="0.25">
      <c r="A26" s="14">
        <v>1</v>
      </c>
      <c r="B26" s="14" t="s">
        <v>107</v>
      </c>
    </row>
    <row r="27" spans="1:56" x14ac:dyDescent="0.25">
      <c r="A27" s="14">
        <v>2</v>
      </c>
      <c r="B27" s="14" t="s">
        <v>396</v>
      </c>
    </row>
    <row r="28" spans="1:56" x14ac:dyDescent="0.25">
      <c r="A28" s="14">
        <v>3</v>
      </c>
      <c r="B28" s="14" t="s">
        <v>397</v>
      </c>
    </row>
    <row r="29" spans="1:56" x14ac:dyDescent="0.25">
      <c r="A29" s="14">
        <v>4</v>
      </c>
      <c r="B29" s="14" t="s">
        <v>397</v>
      </c>
    </row>
    <row r="30" spans="1:56" x14ac:dyDescent="0.25">
      <c r="A30" s="14">
        <v>5</v>
      </c>
      <c r="B30" s="14" t="s">
        <v>397</v>
      </c>
    </row>
    <row r="31" spans="1:56" x14ac:dyDescent="0.25">
      <c r="A31" s="14">
        <v>6</v>
      </c>
      <c r="B31" s="14" t="s">
        <v>397</v>
      </c>
    </row>
    <row r="32" spans="1:56" x14ac:dyDescent="0.25">
      <c r="A32" s="14">
        <v>7</v>
      </c>
      <c r="B32" s="14" t="s">
        <v>397</v>
      </c>
    </row>
    <row r="33" spans="1:16" x14ac:dyDescent="0.25">
      <c r="A33" s="14">
        <v>8</v>
      </c>
      <c r="B33" s="14" t="s">
        <v>398</v>
      </c>
    </row>
    <row r="37" spans="1:16" ht="14" x14ac:dyDescent="0.3">
      <c r="A37" s="125" t="s">
        <v>157</v>
      </c>
      <c r="B37" s="145"/>
    </row>
    <row r="38" spans="1:16" ht="38.25" customHeight="1" x14ac:dyDescent="0.25">
      <c r="A38" s="131" t="s">
        <v>399</v>
      </c>
      <c r="B38" s="131"/>
      <c r="C38" s="131"/>
      <c r="D38" s="131"/>
      <c r="E38" s="131"/>
      <c r="F38" s="131"/>
      <c r="G38" s="75"/>
      <c r="H38" s="75"/>
      <c r="I38" s="75"/>
      <c r="J38" s="75"/>
      <c r="K38" s="75"/>
    </row>
    <row r="41" spans="1:16" ht="14" x14ac:dyDescent="0.3">
      <c r="A41" s="125" t="s">
        <v>159</v>
      </c>
      <c r="B41" s="145"/>
    </row>
    <row r="42" spans="1:16" ht="183" customHeight="1" x14ac:dyDescent="0.25">
      <c r="A42" s="138" t="s">
        <v>400</v>
      </c>
      <c r="B42" s="137"/>
      <c r="C42" s="137"/>
      <c r="D42" s="137"/>
      <c r="E42" s="137"/>
      <c r="F42" s="137"/>
      <c r="G42" s="62"/>
      <c r="H42" s="62"/>
      <c r="I42" s="62"/>
      <c r="J42" s="62"/>
      <c r="K42" s="62"/>
    </row>
    <row r="45" spans="1:16" ht="14" x14ac:dyDescent="0.3">
      <c r="A45" s="125" t="s">
        <v>161</v>
      </c>
      <c r="B45" s="145"/>
    </row>
    <row r="46" spans="1:16" ht="72" customHeight="1" x14ac:dyDescent="0.25">
      <c r="A46" s="148"/>
      <c r="B46" s="131"/>
      <c r="C46" s="131"/>
      <c r="D46" s="131"/>
      <c r="E46" s="131"/>
      <c r="F46" s="131"/>
      <c r="G46" s="122"/>
      <c r="H46" s="122"/>
      <c r="I46" s="122"/>
      <c r="J46" s="122"/>
      <c r="K46" s="122"/>
      <c r="L46" s="38"/>
      <c r="M46" s="38"/>
      <c r="N46" s="38"/>
      <c r="O46" s="38"/>
      <c r="P46" s="38"/>
    </row>
    <row r="48" spans="1:16" ht="14" x14ac:dyDescent="0.3">
      <c r="A48" s="125" t="s">
        <v>162</v>
      </c>
      <c r="B48" s="145"/>
    </row>
    <row r="49" spans="1:11" ht="110" customHeight="1" x14ac:dyDescent="0.25">
      <c r="A49" s="133"/>
      <c r="B49" s="133"/>
      <c r="C49" s="133"/>
      <c r="D49" s="133"/>
      <c r="E49" s="133"/>
      <c r="F49" s="133"/>
      <c r="G49" s="133"/>
      <c r="H49" s="133"/>
      <c r="I49" s="133"/>
      <c r="J49" s="133"/>
      <c r="K49" s="133"/>
    </row>
    <row r="51" spans="1:11" ht="14" x14ac:dyDescent="0.3">
      <c r="A51"/>
      <c r="B51"/>
      <c r="C51"/>
      <c r="D51"/>
      <c r="E51"/>
      <c r="F51"/>
      <c r="G51"/>
      <c r="H51"/>
      <c r="I51"/>
      <c r="J51"/>
      <c r="K51"/>
    </row>
    <row r="52" spans="1:11" ht="14" x14ac:dyDescent="0.3">
      <c r="A52"/>
      <c r="B52"/>
      <c r="C52"/>
      <c r="D52"/>
      <c r="E52"/>
      <c r="F52"/>
      <c r="G52"/>
      <c r="H52"/>
      <c r="I52"/>
      <c r="J52"/>
      <c r="K52"/>
    </row>
    <row r="53" spans="1:11" ht="107" customHeight="1" x14ac:dyDescent="0.3">
      <c r="A53"/>
      <c r="B53"/>
      <c r="C53"/>
      <c r="D53"/>
      <c r="E53"/>
      <c r="F53"/>
      <c r="G53"/>
      <c r="H53"/>
      <c r="I53"/>
      <c r="J53"/>
      <c r="K53"/>
    </row>
    <row r="56" spans="1:11" ht="15.75" customHeight="1" x14ac:dyDescent="0.25">
      <c r="A56" s="85"/>
    </row>
  </sheetData>
  <mergeCells count="11">
    <mergeCell ref="A41:B41"/>
    <mergeCell ref="A8:B8"/>
    <mergeCell ref="A15:B15"/>
    <mergeCell ref="A25:B25"/>
    <mergeCell ref="A37:B37"/>
    <mergeCell ref="A38:F38"/>
    <mergeCell ref="A42:F42"/>
    <mergeCell ref="A45:B45"/>
    <mergeCell ref="A46:F46"/>
    <mergeCell ref="A48:B48"/>
    <mergeCell ref="A49:K49"/>
  </mergeCells>
  <pageMargins left="0.75000000000000011" right="0.75000000000000011"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09"/>
  <sheetViews>
    <sheetView tabSelected="1" zoomScale="80" zoomScaleNormal="80" workbookViewId="0">
      <pane xSplit="2" ySplit="2" topLeftCell="G37" activePane="bottomRight" state="frozen"/>
      <selection activeCell="A42" sqref="A42:F42"/>
      <selection pane="topRight" activeCell="A42" sqref="A42:F42"/>
      <selection pane="bottomLeft" activeCell="A42" sqref="A42:F42"/>
      <selection pane="bottomRight" activeCell="H163" sqref="H163"/>
    </sheetView>
  </sheetViews>
  <sheetFormatPr defaultColWidth="11" defaultRowHeight="14" x14ac:dyDescent="0.3"/>
  <cols>
    <col min="1" max="1" width="10.53515625" customWidth="1"/>
    <col min="2" max="2" width="67.84375" customWidth="1"/>
    <col min="3" max="51" width="15.53515625" customWidth="1"/>
    <col min="52" max="56" width="15.53515625" style="14" customWidth="1"/>
    <col min="57" max="57" width="11" style="14"/>
  </cols>
  <sheetData>
    <row r="1" spans="1:57" s="4" customFormat="1" ht="18" thickBot="1" x14ac:dyDescent="0.4">
      <c r="A1" s="2" t="s">
        <v>56</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s="35" customFormat="1" ht="14.5" thickTop="1" x14ac:dyDescent="0.3">
      <c r="A2" s="7"/>
      <c r="B2" s="6" t="s">
        <v>57</v>
      </c>
      <c r="C2" s="7">
        <v>1960</v>
      </c>
      <c r="D2" s="7">
        <v>1961</v>
      </c>
      <c r="E2" s="7">
        <v>1962</v>
      </c>
      <c r="F2" s="7">
        <v>1963</v>
      </c>
      <c r="G2" s="7">
        <v>1964</v>
      </c>
      <c r="H2" s="7">
        <v>1965</v>
      </c>
      <c r="I2" s="7">
        <v>1966</v>
      </c>
      <c r="J2" s="7">
        <v>1967</v>
      </c>
      <c r="K2" s="7">
        <v>1968</v>
      </c>
      <c r="L2" s="7">
        <v>1969</v>
      </c>
      <c r="M2" s="7">
        <v>1970</v>
      </c>
      <c r="N2" s="7">
        <v>1971</v>
      </c>
      <c r="O2" s="7">
        <v>1972</v>
      </c>
      <c r="P2" s="7">
        <v>1973</v>
      </c>
      <c r="Q2" s="7">
        <v>1974</v>
      </c>
      <c r="R2" s="7">
        <v>1975</v>
      </c>
      <c r="S2" s="7">
        <v>1976</v>
      </c>
      <c r="T2" s="7">
        <v>1977</v>
      </c>
      <c r="U2" s="7">
        <v>1978</v>
      </c>
      <c r="V2" s="7">
        <v>1979</v>
      </c>
      <c r="W2" s="7">
        <v>1980</v>
      </c>
      <c r="X2" s="7">
        <v>1981</v>
      </c>
      <c r="Y2" s="7">
        <v>1982</v>
      </c>
      <c r="Z2" s="7">
        <v>1983</v>
      </c>
      <c r="AA2" s="7">
        <v>1984</v>
      </c>
      <c r="AB2" s="7">
        <v>1985</v>
      </c>
      <c r="AC2" s="7">
        <v>1986</v>
      </c>
      <c r="AD2" s="7">
        <v>1987</v>
      </c>
      <c r="AE2" s="7">
        <v>1988</v>
      </c>
      <c r="AF2" s="7">
        <v>1989</v>
      </c>
      <c r="AG2" s="7">
        <v>1990</v>
      </c>
      <c r="AH2" s="7">
        <v>1991</v>
      </c>
      <c r="AI2" s="7">
        <v>1992</v>
      </c>
      <c r="AJ2" s="7">
        <v>1993</v>
      </c>
      <c r="AK2" s="7">
        <v>1994</v>
      </c>
      <c r="AL2" s="7">
        <v>1995</v>
      </c>
      <c r="AM2" s="7">
        <v>1996</v>
      </c>
      <c r="AN2" s="7">
        <v>1997</v>
      </c>
      <c r="AO2" s="7">
        <v>1998</v>
      </c>
      <c r="AP2" s="7">
        <v>1999</v>
      </c>
      <c r="AQ2" s="7">
        <v>2000</v>
      </c>
      <c r="AR2" s="7">
        <v>2001</v>
      </c>
      <c r="AS2" s="7">
        <v>2002</v>
      </c>
      <c r="AT2" s="7">
        <v>2003</v>
      </c>
      <c r="AU2" s="7">
        <v>2004</v>
      </c>
      <c r="AV2" s="7">
        <v>2005</v>
      </c>
      <c r="AW2" s="7">
        <v>2006</v>
      </c>
      <c r="AX2" s="7">
        <v>2007</v>
      </c>
      <c r="AY2" s="7">
        <v>2008</v>
      </c>
      <c r="AZ2" s="7">
        <v>2009</v>
      </c>
      <c r="BA2" s="7">
        <v>2010</v>
      </c>
      <c r="BB2" s="7">
        <v>2011</v>
      </c>
      <c r="BC2" s="7">
        <v>2012</v>
      </c>
      <c r="BD2" s="7">
        <v>2013</v>
      </c>
      <c r="BE2" s="7"/>
    </row>
    <row r="3" spans="1:57" s="37" customFormat="1" x14ac:dyDescent="0.3">
      <c r="A3" s="8">
        <v>1</v>
      </c>
      <c r="B3" s="36" t="s">
        <v>58</v>
      </c>
      <c r="C3" s="9">
        <v>0.5733120867710001</v>
      </c>
      <c r="D3" s="9">
        <v>0.60102902758400012</v>
      </c>
      <c r="E3" s="9">
        <v>0.6422011046720002</v>
      </c>
      <c r="F3" s="9">
        <v>0.6735498604350002</v>
      </c>
      <c r="G3" s="9">
        <v>0.70589624987300004</v>
      </c>
      <c r="H3" s="9">
        <v>0.73022794038599992</v>
      </c>
      <c r="I3" s="9">
        <v>0.75543440617400026</v>
      </c>
      <c r="J3" s="9">
        <v>0.79864510337700012</v>
      </c>
      <c r="K3" s="9">
        <v>0.82725655597500014</v>
      </c>
      <c r="L3" s="9">
        <v>0.86387558118800012</v>
      </c>
      <c r="M3" s="9">
        <v>0.88754070067599999</v>
      </c>
      <c r="N3" s="9">
        <v>0.91323415569440014</v>
      </c>
      <c r="O3" s="9">
        <v>0.95701351721039996</v>
      </c>
      <c r="P3" s="9">
        <v>1.0174205796239999</v>
      </c>
      <c r="Q3" s="9">
        <v>1.0379288923351999</v>
      </c>
      <c r="R3" s="9">
        <v>1.0428606153440001</v>
      </c>
      <c r="S3" s="9">
        <v>1.0609821066208001</v>
      </c>
      <c r="T3" s="9">
        <v>1.0782419775968002</v>
      </c>
      <c r="U3" s="9">
        <v>1.090799788272</v>
      </c>
      <c r="V3" s="9">
        <v>1.1101867986464</v>
      </c>
      <c r="W3" s="9">
        <v>1.1335234608800002</v>
      </c>
      <c r="X3" s="9">
        <v>1.1389275610628486</v>
      </c>
      <c r="Y3" s="9">
        <v>1.0989437410634804</v>
      </c>
      <c r="Z3" s="9">
        <v>1.1414297211160511</v>
      </c>
      <c r="AA3" s="9">
        <v>1.1408994812205602</v>
      </c>
      <c r="AB3" s="9">
        <v>1.1574552013770072</v>
      </c>
      <c r="AC3" s="9">
        <v>1.1377260914546012</v>
      </c>
      <c r="AD3" s="9">
        <v>1.1409699615057702</v>
      </c>
      <c r="AE3" s="9">
        <v>1.1462796115305145</v>
      </c>
      <c r="AF3" s="9">
        <v>1.1243849615288339</v>
      </c>
      <c r="AG3" s="9">
        <v>1.1311239355360001</v>
      </c>
      <c r="AH3" s="9">
        <v>1.1603271657386962</v>
      </c>
      <c r="AI3" s="9">
        <v>1.2002026435125761</v>
      </c>
      <c r="AJ3" s="9">
        <v>1.2068452433388399</v>
      </c>
      <c r="AK3" s="9">
        <v>1.23461368938024</v>
      </c>
      <c r="AL3" s="9">
        <v>1.2040606202491921</v>
      </c>
      <c r="AM3" s="9">
        <v>1.2288201748491978</v>
      </c>
      <c r="AN3" s="9">
        <v>1.21604418109976</v>
      </c>
      <c r="AO3" s="9">
        <v>1.2694964447540651</v>
      </c>
      <c r="AP3" s="9">
        <v>1.2969877316542202</v>
      </c>
      <c r="AQ3" s="9">
        <f t="shared" ref="AQ3:BB3" si="0">AQ26</f>
        <v>1.346762433096</v>
      </c>
      <c r="AR3" s="9">
        <f t="shared" si="0"/>
        <v>1.3690792348995546</v>
      </c>
      <c r="AS3" s="9">
        <f t="shared" si="0"/>
        <v>1.3852769779117382</v>
      </c>
      <c r="AT3" s="9">
        <f t="shared" si="0"/>
        <v>1.3745292766156025</v>
      </c>
      <c r="AU3" s="9">
        <f t="shared" si="0"/>
        <v>1.3958756833149404</v>
      </c>
      <c r="AV3" s="9">
        <f t="shared" si="0"/>
        <v>1.3970332143481308</v>
      </c>
      <c r="AW3" s="9">
        <f t="shared" si="0"/>
        <v>1.3975519203040891</v>
      </c>
      <c r="AX3" s="9">
        <f t="shared" si="0"/>
        <v>1.3630988975282836</v>
      </c>
      <c r="AY3" s="9">
        <f t="shared" si="0"/>
        <v>1.3644478391411747</v>
      </c>
      <c r="AZ3" s="9">
        <f t="shared" si="0"/>
        <v>1.3740057312290819</v>
      </c>
      <c r="BA3" s="9">
        <f t="shared" si="0"/>
        <v>1.3983761466539606</v>
      </c>
      <c r="BB3" s="9">
        <f t="shared" si="0"/>
        <v>1.4221068637906646</v>
      </c>
      <c r="BC3" s="9">
        <f>BC26</f>
        <v>1.4275050463870116</v>
      </c>
      <c r="BD3" s="9">
        <f>BD26</f>
        <v>1.4618760878430013</v>
      </c>
      <c r="BE3" s="9"/>
    </row>
    <row r="4" spans="1:57" s="39" customFormat="1" x14ac:dyDescent="0.3">
      <c r="A4" s="8">
        <v>2</v>
      </c>
      <c r="B4" s="38" t="s">
        <v>59</v>
      </c>
      <c r="C4" s="8">
        <v>5140</v>
      </c>
      <c r="D4" s="38">
        <v>5296</v>
      </c>
      <c r="E4" s="38">
        <v>6022</v>
      </c>
      <c r="F4" s="38">
        <v>6402</v>
      </c>
      <c r="G4" s="38">
        <v>6697</v>
      </c>
      <c r="H4" s="38">
        <v>6978</v>
      </c>
      <c r="I4" s="38">
        <v>7072</v>
      </c>
      <c r="J4" s="38">
        <v>7889.7</v>
      </c>
      <c r="K4" s="38">
        <v>8151</v>
      </c>
      <c r="L4" s="38">
        <v>8827</v>
      </c>
      <c r="M4" s="38">
        <v>9299</v>
      </c>
      <c r="N4" s="38">
        <v>10081</v>
      </c>
      <c r="O4" s="38">
        <v>11700</v>
      </c>
      <c r="P4" s="38">
        <v>14100</v>
      </c>
      <c r="Q4" s="38">
        <v>15100</v>
      </c>
      <c r="R4" s="38">
        <v>15400</v>
      </c>
      <c r="S4" s="38">
        <v>16100</v>
      </c>
      <c r="T4" s="38">
        <v>16600</v>
      </c>
      <c r="U4" s="38">
        <v>16500</v>
      </c>
      <c r="V4" s="38">
        <v>16900</v>
      </c>
      <c r="W4" s="38">
        <v>17500</v>
      </c>
      <c r="X4" s="38">
        <v>17200</v>
      </c>
      <c r="Y4" s="38">
        <v>15000</v>
      </c>
      <c r="Z4" s="38">
        <v>16300</v>
      </c>
      <c r="AA4" s="38">
        <v>15800</v>
      </c>
      <c r="AB4" s="38">
        <v>16200</v>
      </c>
      <c r="AC4" s="38">
        <v>15500</v>
      </c>
      <c r="AD4" s="38">
        <v>15900</v>
      </c>
      <c r="AE4" s="38">
        <v>16400</v>
      </c>
      <c r="AF4" s="38">
        <v>15600</v>
      </c>
      <c r="AG4" s="38">
        <v>16100</v>
      </c>
      <c r="AH4" s="38">
        <v>16600</v>
      </c>
      <c r="AI4" s="38">
        <v>17600</v>
      </c>
      <c r="AJ4" s="38">
        <v>17000</v>
      </c>
      <c r="AK4" s="38">
        <v>17400</v>
      </c>
      <c r="AL4" s="38">
        <v>15000</v>
      </c>
      <c r="AM4" s="38">
        <v>16300</v>
      </c>
      <c r="AN4" s="38">
        <v>15100</v>
      </c>
      <c r="AO4" s="38">
        <v>16400</v>
      </c>
      <c r="AP4" s="38">
        <v>16502.400000000001</v>
      </c>
      <c r="AQ4" s="38">
        <v>17000</v>
      </c>
      <c r="AR4" s="38">
        <v>15900</v>
      </c>
      <c r="AS4" s="38">
        <v>18492.599999999999</v>
      </c>
      <c r="AT4" s="38">
        <v>17584</v>
      </c>
      <c r="AU4" s="38">
        <v>17100</v>
      </c>
      <c r="AV4" s="38">
        <v>17100</v>
      </c>
      <c r="AW4" s="38">
        <v>17065</v>
      </c>
      <c r="AX4" s="38">
        <v>16662</v>
      </c>
      <c r="AY4" s="38">
        <v>16210</v>
      </c>
      <c r="AZ4" s="38">
        <v>15778</v>
      </c>
      <c r="BA4" s="38">
        <f>BA29</f>
        <v>16324</v>
      </c>
      <c r="BB4" s="38">
        <f>BB29</f>
        <v>16824</v>
      </c>
      <c r="BC4" s="38">
        <f>BC29</f>
        <v>16208</v>
      </c>
      <c r="BD4" s="38">
        <f>BD29</f>
        <v>15416</v>
      </c>
      <c r="BE4" s="38"/>
    </row>
    <row r="5" spans="1:57" s="39" customFormat="1" x14ac:dyDescent="0.3">
      <c r="A5" s="8">
        <v>3</v>
      </c>
      <c r="B5" s="38" t="s">
        <v>60</v>
      </c>
      <c r="C5" s="38">
        <v>1.18</v>
      </c>
      <c r="D5" s="38">
        <v>1.25</v>
      </c>
      <c r="E5" s="38">
        <v>1.29</v>
      </c>
      <c r="F5" s="38">
        <v>1.31</v>
      </c>
      <c r="G5" s="38">
        <v>1.36</v>
      </c>
      <c r="H5" s="38">
        <v>1.32</v>
      </c>
      <c r="I5" s="38">
        <v>1.34</v>
      </c>
      <c r="J5" s="38">
        <v>1.34</v>
      </c>
      <c r="K5" s="38">
        <v>1.34</v>
      </c>
      <c r="L5" s="38">
        <v>1.31</v>
      </c>
      <c r="M5" s="38">
        <v>1.22</v>
      </c>
      <c r="N5" s="38">
        <v>1.22</v>
      </c>
      <c r="O5" s="38">
        <v>1.2</v>
      </c>
      <c r="P5" s="38">
        <v>1.17</v>
      </c>
      <c r="Q5" s="38">
        <v>1.1200000000000001</v>
      </c>
      <c r="R5" s="38">
        <v>1.08</v>
      </c>
      <c r="S5" s="38">
        <v>1.03</v>
      </c>
      <c r="T5" s="38">
        <v>1</v>
      </c>
      <c r="U5" s="38">
        <v>1.01</v>
      </c>
      <c r="V5" s="38">
        <v>1</v>
      </c>
      <c r="W5" s="38">
        <v>0.98</v>
      </c>
      <c r="X5" s="38">
        <v>0.97</v>
      </c>
      <c r="Y5" s="38">
        <v>0.94</v>
      </c>
      <c r="Z5" s="38">
        <v>0.94</v>
      </c>
      <c r="AA5" s="38">
        <v>0.92</v>
      </c>
      <c r="AB5" s="38">
        <v>0.89</v>
      </c>
      <c r="AC5" s="38">
        <v>0.89</v>
      </c>
      <c r="AD5" s="38">
        <v>0.89</v>
      </c>
      <c r="AE5" s="38">
        <v>0.89</v>
      </c>
      <c r="AF5" s="38">
        <v>0.89</v>
      </c>
      <c r="AG5" s="38">
        <v>0.89</v>
      </c>
      <c r="AH5" s="38">
        <v>0.89</v>
      </c>
      <c r="AI5" s="38">
        <v>0.89</v>
      </c>
      <c r="AJ5" s="38">
        <v>0.89</v>
      </c>
      <c r="AK5" s="38">
        <v>0.89</v>
      </c>
      <c r="AL5" s="38">
        <v>0.89</v>
      </c>
      <c r="AM5" s="38">
        <v>0.89</v>
      </c>
      <c r="AN5" s="38">
        <v>0.89</v>
      </c>
      <c r="AO5" s="38">
        <v>0.89</v>
      </c>
      <c r="AP5" s="38">
        <v>0.89</v>
      </c>
      <c r="AQ5" s="38">
        <f t="shared" ref="AQ5:BB6" si="1">AQ33</f>
        <v>0.85</v>
      </c>
      <c r="AR5" s="38">
        <f t="shared" si="1"/>
        <v>0.86</v>
      </c>
      <c r="AS5" s="38">
        <f t="shared" si="1"/>
        <v>0.83</v>
      </c>
      <c r="AT5" s="38">
        <f t="shared" si="1"/>
        <v>0.8</v>
      </c>
      <c r="AU5" s="38">
        <f t="shared" si="1"/>
        <v>0.83</v>
      </c>
      <c r="AV5" s="38">
        <f t="shared" si="1"/>
        <v>0.83</v>
      </c>
      <c r="AW5" s="38">
        <f t="shared" si="1"/>
        <v>0.78</v>
      </c>
      <c r="AX5" s="38">
        <f t="shared" si="1"/>
        <v>0.64</v>
      </c>
      <c r="AY5" s="38">
        <f t="shared" si="1"/>
        <v>0.63</v>
      </c>
      <c r="AZ5" s="38">
        <f t="shared" si="1"/>
        <v>0.64</v>
      </c>
      <c r="BA5" s="38">
        <f t="shared" si="1"/>
        <v>0.61</v>
      </c>
      <c r="BB5" s="38">
        <f t="shared" si="1"/>
        <v>0.61</v>
      </c>
      <c r="BC5" s="38">
        <f>BC33</f>
        <v>0.61</v>
      </c>
      <c r="BD5" s="40">
        <f>BD33</f>
        <v>0.76485469641930459</v>
      </c>
      <c r="BE5" s="38"/>
    </row>
    <row r="6" spans="1:57" s="39" customFormat="1" x14ac:dyDescent="0.3">
      <c r="A6" s="8">
        <v>4</v>
      </c>
      <c r="B6" s="38" t="s">
        <v>61</v>
      </c>
      <c r="C6" s="38">
        <v>6065.2</v>
      </c>
      <c r="D6" s="38">
        <v>6620</v>
      </c>
      <c r="E6" s="38">
        <v>7768.38</v>
      </c>
      <c r="F6" s="38">
        <v>8386.6200000000008</v>
      </c>
      <c r="G6" s="38">
        <v>9107.92</v>
      </c>
      <c r="H6" s="38">
        <v>9210.9599999999991</v>
      </c>
      <c r="I6" s="38">
        <v>9476.48</v>
      </c>
      <c r="J6" s="38">
        <v>10572.198</v>
      </c>
      <c r="K6" s="38">
        <v>10922.34</v>
      </c>
      <c r="L6" s="38">
        <v>11563.37</v>
      </c>
      <c r="M6" s="38">
        <v>11344.78</v>
      </c>
      <c r="N6" s="38">
        <v>12298.82</v>
      </c>
      <c r="O6" s="38">
        <v>14040</v>
      </c>
      <c r="P6" s="38">
        <v>16497</v>
      </c>
      <c r="Q6" s="38">
        <v>16912</v>
      </c>
      <c r="R6" s="38">
        <v>16632</v>
      </c>
      <c r="S6" s="38">
        <v>16583</v>
      </c>
      <c r="T6" s="38">
        <v>16600</v>
      </c>
      <c r="U6" s="38">
        <v>16665</v>
      </c>
      <c r="V6" s="38">
        <v>16900</v>
      </c>
      <c r="W6" s="38">
        <v>17150</v>
      </c>
      <c r="X6" s="38">
        <v>16684</v>
      </c>
      <c r="Y6" s="38">
        <v>14100</v>
      </c>
      <c r="Z6" s="38">
        <v>15322</v>
      </c>
      <c r="AA6" s="38">
        <v>14536</v>
      </c>
      <c r="AB6" s="38">
        <v>14418</v>
      </c>
      <c r="AC6" s="38">
        <v>13795</v>
      </c>
      <c r="AD6" s="38">
        <v>14151</v>
      </c>
      <c r="AE6" s="38">
        <v>14596</v>
      </c>
      <c r="AF6" s="38">
        <v>13884</v>
      </c>
      <c r="AG6" s="38">
        <v>14329</v>
      </c>
      <c r="AH6" s="38">
        <v>14774</v>
      </c>
      <c r="AI6" s="38">
        <v>15664</v>
      </c>
      <c r="AJ6" s="38">
        <v>15130</v>
      </c>
      <c r="AK6" s="38">
        <v>15486</v>
      </c>
      <c r="AL6" s="38">
        <v>13350</v>
      </c>
      <c r="AM6" s="38">
        <v>14507</v>
      </c>
      <c r="AN6" s="38">
        <v>13439</v>
      </c>
      <c r="AO6" s="38">
        <v>14596</v>
      </c>
      <c r="AP6" s="38">
        <v>14687.136000000002</v>
      </c>
      <c r="AQ6" s="38">
        <f t="shared" si="1"/>
        <v>14937</v>
      </c>
      <c r="AR6" s="38">
        <f t="shared" si="1"/>
        <v>15397</v>
      </c>
      <c r="AS6" s="38">
        <f t="shared" si="1"/>
        <v>15353</v>
      </c>
      <c r="AT6" s="38">
        <f t="shared" si="1"/>
        <v>14159</v>
      </c>
      <c r="AU6" s="38">
        <f t="shared" si="1"/>
        <v>14702</v>
      </c>
      <c r="AV6" s="38">
        <f t="shared" si="1"/>
        <v>14215</v>
      </c>
      <c r="AW6" s="38">
        <f t="shared" si="1"/>
        <v>13399</v>
      </c>
      <c r="AX6" s="38">
        <f t="shared" si="1"/>
        <v>10654</v>
      </c>
      <c r="AY6" s="38">
        <f t="shared" si="1"/>
        <v>10104</v>
      </c>
      <c r="AZ6" s="38">
        <f t="shared" si="1"/>
        <v>10100</v>
      </c>
      <c r="BA6" s="38">
        <f t="shared" si="1"/>
        <v>10017</v>
      </c>
      <c r="BB6" s="38">
        <f t="shared" si="1"/>
        <v>10262.64</v>
      </c>
      <c r="BC6" s="38">
        <f>BC34</f>
        <v>9886.8799999999992</v>
      </c>
      <c r="BD6" s="38">
        <f>BD34</f>
        <v>11791</v>
      </c>
      <c r="BE6" s="38"/>
    </row>
    <row r="7" spans="1:57" s="41" customFormat="1" x14ac:dyDescent="0.3">
      <c r="A7" s="8">
        <v>5</v>
      </c>
      <c r="B7" s="11" t="s">
        <v>62</v>
      </c>
      <c r="C7" s="11">
        <v>127407236</v>
      </c>
      <c r="D7" s="11">
        <v>136234304</v>
      </c>
      <c r="E7" s="11">
        <v>158132902.40000001</v>
      </c>
      <c r="F7" s="11">
        <v>169824573.60000002</v>
      </c>
      <c r="G7" s="11">
        <v>182130272.59999999</v>
      </c>
      <c r="H7" s="11">
        <v>186037666.80000001</v>
      </c>
      <c r="I7" s="11">
        <v>190436230.40000004</v>
      </c>
      <c r="J7" s="11">
        <v>212455419.54000002</v>
      </c>
      <c r="K7" s="11">
        <v>219491758.19999999</v>
      </c>
      <c r="L7" s="11">
        <v>234152063.60000002</v>
      </c>
      <c r="M7" s="11">
        <v>235474857.40000001</v>
      </c>
      <c r="N7" s="11">
        <v>255277130.59999999</v>
      </c>
      <c r="O7" s="11">
        <v>293143500</v>
      </c>
      <c r="P7" s="11">
        <v>347615760</v>
      </c>
      <c r="Q7" s="11">
        <v>362167460</v>
      </c>
      <c r="R7" s="11">
        <v>361120760</v>
      </c>
      <c r="S7" s="11">
        <v>366764440</v>
      </c>
      <c r="T7" s="11">
        <v>371491400</v>
      </c>
      <c r="U7" s="11">
        <v>371461200</v>
      </c>
      <c r="V7" s="11">
        <v>378205100</v>
      </c>
      <c r="W7" s="11">
        <v>386949500</v>
      </c>
      <c r="X7" s="11">
        <v>378014720</v>
      </c>
      <c r="Y7" s="11">
        <v>323643000</v>
      </c>
      <c r="Z7" s="11">
        <v>351692060</v>
      </c>
      <c r="AA7" s="11">
        <v>336675880</v>
      </c>
      <c r="AB7" s="11">
        <v>338696640</v>
      </c>
      <c r="AC7" s="11">
        <v>324061600</v>
      </c>
      <c r="AD7" s="11">
        <v>332424480</v>
      </c>
      <c r="AE7" s="11">
        <v>342878080</v>
      </c>
      <c r="AF7" s="11">
        <v>326152320</v>
      </c>
      <c r="AG7" s="11">
        <v>336605920</v>
      </c>
      <c r="AH7" s="11">
        <v>347059520</v>
      </c>
      <c r="AI7" s="11">
        <v>367966720</v>
      </c>
      <c r="AJ7" s="11">
        <v>355422400</v>
      </c>
      <c r="AK7" s="11">
        <v>363785280</v>
      </c>
      <c r="AL7" s="11">
        <v>313608000</v>
      </c>
      <c r="AM7" s="11">
        <v>340787360</v>
      </c>
      <c r="AN7" s="11">
        <v>315698720</v>
      </c>
      <c r="AO7" s="11">
        <v>342878080</v>
      </c>
      <c r="AP7" s="11">
        <v>345018977.28000009</v>
      </c>
      <c r="AQ7" s="11">
        <v>355422400</v>
      </c>
      <c r="AR7" s="11">
        <v>332424480</v>
      </c>
      <c r="AS7" s="11">
        <v>386628486.72000003</v>
      </c>
      <c r="AT7" s="11">
        <v>367632204.80000001</v>
      </c>
      <c r="AU7" s="11">
        <v>357513120</v>
      </c>
      <c r="AV7" s="11">
        <v>357513120</v>
      </c>
      <c r="AW7" s="11">
        <v>356781368</v>
      </c>
      <c r="AX7" s="11">
        <v>348355766.39999998</v>
      </c>
      <c r="AY7" s="11">
        <v>338905712</v>
      </c>
      <c r="AZ7" s="11">
        <v>329873801.60000002</v>
      </c>
      <c r="BA7" s="11">
        <f>BA39</f>
        <v>280927136</v>
      </c>
      <c r="BB7" s="11">
        <f>BB39</f>
        <v>288713299.19999999</v>
      </c>
      <c r="BC7" s="11">
        <f>BC39</f>
        <v>278142246.39999998</v>
      </c>
      <c r="BD7" s="11">
        <f>BD39</f>
        <v>296519371</v>
      </c>
      <c r="BE7" s="11"/>
    </row>
    <row r="8" spans="1:57" s="43" customFormat="1" x14ac:dyDescent="0.3">
      <c r="A8" s="8">
        <v>6</v>
      </c>
      <c r="B8" s="42" t="s">
        <v>63</v>
      </c>
      <c r="C8" s="42">
        <v>1835.95</v>
      </c>
      <c r="D8" s="42">
        <v>1868.8</v>
      </c>
      <c r="E8" s="42">
        <v>1901.65</v>
      </c>
      <c r="F8" s="42">
        <v>1934.5</v>
      </c>
      <c r="G8" s="42">
        <v>1967.35</v>
      </c>
      <c r="H8" s="42">
        <v>2000.2</v>
      </c>
      <c r="I8" s="42">
        <v>2033.05</v>
      </c>
      <c r="J8" s="42">
        <v>2065.9</v>
      </c>
      <c r="K8" s="42">
        <v>2098.75</v>
      </c>
      <c r="L8" s="42">
        <v>2131.6</v>
      </c>
      <c r="M8" s="42">
        <v>2164.4499999999998</v>
      </c>
      <c r="N8" s="42">
        <v>2178.3200000000002</v>
      </c>
      <c r="O8" s="42">
        <v>2192.19</v>
      </c>
      <c r="P8" s="42">
        <v>2206.06</v>
      </c>
      <c r="Q8" s="42">
        <v>2219.9299999999998</v>
      </c>
      <c r="R8" s="42">
        <v>2233.8000000000002</v>
      </c>
      <c r="S8" s="42">
        <v>2268.84</v>
      </c>
      <c r="T8" s="42">
        <v>2303.88</v>
      </c>
      <c r="U8" s="42">
        <v>2338.92</v>
      </c>
      <c r="V8" s="42">
        <v>2373.96</v>
      </c>
      <c r="W8" s="42">
        <v>2409</v>
      </c>
      <c r="X8" s="42">
        <v>2450.61</v>
      </c>
      <c r="Y8" s="42">
        <v>2492.2199999999998</v>
      </c>
      <c r="Z8" s="42">
        <v>2533.83</v>
      </c>
      <c r="AA8" s="42">
        <v>2575.44</v>
      </c>
      <c r="AB8" s="42">
        <v>2617.0500000000002</v>
      </c>
      <c r="AC8" s="42">
        <v>2595.88</v>
      </c>
      <c r="AD8" s="42">
        <v>2574.71</v>
      </c>
      <c r="AE8" s="42">
        <v>2553.54</v>
      </c>
      <c r="AF8" s="42">
        <v>2532.37</v>
      </c>
      <c r="AG8" s="42">
        <v>2511.1999999999998</v>
      </c>
      <c r="AH8" s="42">
        <v>2540.4</v>
      </c>
      <c r="AI8" s="42">
        <v>2569.6</v>
      </c>
      <c r="AJ8" s="42">
        <v>2598.8000000000002</v>
      </c>
      <c r="AK8" s="42">
        <v>2628</v>
      </c>
      <c r="AL8" s="42">
        <v>2657.2</v>
      </c>
      <c r="AM8" s="42">
        <v>2620.6999999999998</v>
      </c>
      <c r="AN8" s="42">
        <v>2628</v>
      </c>
      <c r="AO8" s="42">
        <v>2675.45</v>
      </c>
      <c r="AP8" s="42">
        <v>2719.25</v>
      </c>
      <c r="AQ8" s="42">
        <v>2766.7</v>
      </c>
      <c r="AR8" s="42">
        <v>2805.4337999999998</v>
      </c>
      <c r="AS8" s="42">
        <v>2844.7098731999999</v>
      </c>
      <c r="AT8" s="42">
        <v>2884.5358114248002</v>
      </c>
      <c r="AU8" s="42">
        <v>2924.9193127847475</v>
      </c>
      <c r="AV8" s="42">
        <v>2965.8681831637341</v>
      </c>
      <c r="AW8" s="42">
        <v>3007.3903377280262</v>
      </c>
      <c r="AX8" s="42">
        <v>3049.4938024562189</v>
      </c>
      <c r="AY8" s="42">
        <v>3092.186715690606</v>
      </c>
      <c r="AZ8" s="42">
        <v>3134.8796289249935</v>
      </c>
      <c r="BA8" s="42">
        <f>BA43</f>
        <v>3177.5725421593806</v>
      </c>
      <c r="BB8" s="42">
        <f>BB43</f>
        <v>3220.2654553937678</v>
      </c>
      <c r="BC8" s="42">
        <f>BC43</f>
        <v>3262.9583686281553</v>
      </c>
      <c r="BD8" s="42">
        <f>BD43</f>
        <v>3305.6512818625424</v>
      </c>
      <c r="BE8" s="42"/>
    </row>
    <row r="9" spans="1:57" s="43" customFormat="1" x14ac:dyDescent="0.3">
      <c r="A9" s="8">
        <v>7</v>
      </c>
      <c r="B9" s="42" t="s">
        <v>64</v>
      </c>
      <c r="C9" s="42">
        <v>449767</v>
      </c>
      <c r="D9" s="42">
        <v>460579.5</v>
      </c>
      <c r="E9" s="42">
        <v>471392</v>
      </c>
      <c r="F9" s="42">
        <v>482204.5</v>
      </c>
      <c r="G9" s="42">
        <v>493017</v>
      </c>
      <c r="H9" s="42">
        <v>503829.5</v>
      </c>
      <c r="I9" s="42">
        <v>514642</v>
      </c>
      <c r="J9" s="42">
        <v>525454.5</v>
      </c>
      <c r="K9" s="42">
        <v>536267</v>
      </c>
      <c r="L9" s="42">
        <v>547079.5</v>
      </c>
      <c r="M9" s="42">
        <v>557892</v>
      </c>
      <c r="N9" s="42">
        <v>559348</v>
      </c>
      <c r="O9" s="42">
        <v>560804</v>
      </c>
      <c r="P9" s="42">
        <v>562260</v>
      </c>
      <c r="Q9" s="42">
        <v>563716</v>
      </c>
      <c r="R9" s="42">
        <v>565172</v>
      </c>
      <c r="S9" s="42">
        <v>566628</v>
      </c>
      <c r="T9" s="42">
        <v>568084</v>
      </c>
      <c r="U9" s="42">
        <v>569540</v>
      </c>
      <c r="V9" s="42">
        <v>570996</v>
      </c>
      <c r="W9" s="42">
        <v>573908</v>
      </c>
      <c r="X9" s="42">
        <v>574998.81817999994</v>
      </c>
      <c r="Y9" s="42">
        <v>576089.63617999991</v>
      </c>
      <c r="Z9" s="42">
        <v>577180.45418</v>
      </c>
      <c r="AA9" s="42">
        <v>578271.27217999997</v>
      </c>
      <c r="AB9" s="42">
        <v>579362.09017999994</v>
      </c>
      <c r="AC9" s="42">
        <v>580452.90817999991</v>
      </c>
      <c r="AD9" s="42">
        <v>581543.72618</v>
      </c>
      <c r="AE9" s="42">
        <v>582634.54417999997</v>
      </c>
      <c r="AF9" s="42">
        <v>583725.36217999994</v>
      </c>
      <c r="AG9" s="42">
        <v>585907</v>
      </c>
      <c r="AH9" s="42">
        <v>592840.18099999998</v>
      </c>
      <c r="AI9" s="42">
        <v>599773.36399999994</v>
      </c>
      <c r="AJ9" s="42">
        <v>606706.54500000004</v>
      </c>
      <c r="AK9" s="42">
        <v>613639.72699999996</v>
      </c>
      <c r="AL9" s="42">
        <v>620572.90899999999</v>
      </c>
      <c r="AM9" s="42">
        <v>627506.09100000001</v>
      </c>
      <c r="AN9" s="42">
        <v>634439.27300000004</v>
      </c>
      <c r="AO9" s="42">
        <v>641372.45499999996</v>
      </c>
      <c r="AP9" s="42">
        <v>648305.63600000006</v>
      </c>
      <c r="AQ9" s="42">
        <v>662172</v>
      </c>
      <c r="AR9" s="42">
        <v>668661.38739431207</v>
      </c>
      <c r="AS9" s="42">
        <v>692074.07916986931</v>
      </c>
      <c r="AT9" s="42">
        <v>699199.68101460417</v>
      </c>
      <c r="AU9" s="42">
        <v>704798.36817832431</v>
      </c>
      <c r="AV9" s="42">
        <v>709506.35511145263</v>
      </c>
      <c r="AW9" s="42">
        <v>712814.67025365098</v>
      </c>
      <c r="AX9" s="42">
        <v>714977.79938508838</v>
      </c>
      <c r="AY9" s="42">
        <v>716886.44273635664</v>
      </c>
      <c r="AZ9" s="42">
        <v>718795.08608762489</v>
      </c>
      <c r="BA9" s="42">
        <f t="shared" ref="BA9:BC10" si="2">BA47</f>
        <v>651236.12199999997</v>
      </c>
      <c r="BB9" s="42">
        <f t="shared" si="2"/>
        <v>651771.41466666665</v>
      </c>
      <c r="BC9" s="42">
        <f t="shared" si="2"/>
        <v>652306.70733333332</v>
      </c>
      <c r="BD9" s="42">
        <f>BD47</f>
        <v>652842</v>
      </c>
      <c r="BE9" s="42"/>
    </row>
    <row r="10" spans="1:57" s="41" customFormat="1" x14ac:dyDescent="0.3">
      <c r="A10" s="8">
        <v>8</v>
      </c>
      <c r="B10" s="11" t="s">
        <v>65</v>
      </c>
      <c r="C10" s="11">
        <v>825749723.64999998</v>
      </c>
      <c r="D10" s="11">
        <v>860730969.60000014</v>
      </c>
      <c r="E10" s="11">
        <v>896422596.80000019</v>
      </c>
      <c r="F10" s="11">
        <v>932824605.25000012</v>
      </c>
      <c r="G10" s="11">
        <v>969936994.95000005</v>
      </c>
      <c r="H10" s="11">
        <v>1007759765.9</v>
      </c>
      <c r="I10" s="11">
        <v>1046292918.1000001</v>
      </c>
      <c r="J10" s="11">
        <v>1085536451.55</v>
      </c>
      <c r="K10" s="11">
        <v>1125490366.25</v>
      </c>
      <c r="L10" s="11">
        <v>1166154662.2</v>
      </c>
      <c r="M10" s="11">
        <v>1207529339.3999999</v>
      </c>
      <c r="N10" s="11">
        <v>1218438935.3600001</v>
      </c>
      <c r="O10" s="11">
        <v>1229388920.76</v>
      </c>
      <c r="P10" s="11">
        <v>1240379295.5999999</v>
      </c>
      <c r="Q10" s="11">
        <v>1251410059.8799999</v>
      </c>
      <c r="R10" s="11">
        <v>1262481213.6000001</v>
      </c>
      <c r="S10" s="11">
        <v>1285588271.52</v>
      </c>
      <c r="T10" s="11">
        <v>1308797365.9200001</v>
      </c>
      <c r="U10" s="11">
        <v>1332108496.8</v>
      </c>
      <c r="V10" s="11">
        <v>1355521664.1600001</v>
      </c>
      <c r="W10" s="11">
        <v>1382544372</v>
      </c>
      <c r="X10" s="11">
        <v>1409097853.8200898</v>
      </c>
      <c r="Y10" s="11">
        <v>1435742113.0805194</v>
      </c>
      <c r="Z10" s="11">
        <v>1462477150.2149093</v>
      </c>
      <c r="AA10" s="11">
        <v>1489302965.2232592</v>
      </c>
      <c r="AB10" s="11">
        <v>1516219558.1055689</v>
      </c>
      <c r="AC10" s="11">
        <v>1506786095.2862983</v>
      </c>
      <c r="AD10" s="11">
        <v>1497306447.2329078</v>
      </c>
      <c r="AE10" s="11">
        <v>1487780613.9453971</v>
      </c>
      <c r="AF10" s="11">
        <v>1478208595.4237664</v>
      </c>
      <c r="AG10" s="11">
        <v>1471329658.3999999</v>
      </c>
      <c r="AH10" s="11">
        <v>1506051195.8124001</v>
      </c>
      <c r="AI10" s="11">
        <v>1541177636.1343999</v>
      </c>
      <c r="AJ10" s="11">
        <v>1576708969.1460001</v>
      </c>
      <c r="AK10" s="11">
        <v>1612645202.556</v>
      </c>
      <c r="AL10" s="11">
        <v>1648986333.7948</v>
      </c>
      <c r="AM10" s="11">
        <v>1644505212.6836998</v>
      </c>
      <c r="AN10" s="11">
        <v>1667306409.444</v>
      </c>
      <c r="AO10" s="11">
        <v>1715959934.7297497</v>
      </c>
      <c r="AP10" s="11">
        <v>1762905100.6930001</v>
      </c>
      <c r="AQ10" s="11">
        <v>1832031272.3999999</v>
      </c>
      <c r="AR10" s="11">
        <v>1875885256.950897</v>
      </c>
      <c r="AS10" s="11">
        <v>1968749966.0003257</v>
      </c>
      <c r="AT10" s="11">
        <v>2016866519.2234228</v>
      </c>
      <c r="AU10" s="11">
        <v>2061478358.7039559</v>
      </c>
      <c r="AV10" s="11">
        <v>2104302324.3775272</v>
      </c>
      <c r="AW10" s="11">
        <v>2143711951.9116192</v>
      </c>
      <c r="AX10" s="11">
        <v>2180320368.1186128</v>
      </c>
      <c r="AY10" s="11">
        <v>2216746734.8880563</v>
      </c>
      <c r="AZ10" s="11">
        <v>2253336072.7474823</v>
      </c>
      <c r="BA10" s="11">
        <f t="shared" si="2"/>
        <v>2069350019.7295566</v>
      </c>
      <c r="BB10" s="11">
        <f t="shared" si="2"/>
        <v>2098876971.4641936</v>
      </c>
      <c r="BC10" s="11">
        <f t="shared" si="2"/>
        <v>2128449629.6055768</v>
      </c>
      <c r="BD10" s="11">
        <f>BD48</f>
        <v>2158067994.1537061</v>
      </c>
      <c r="BE10" s="11"/>
    </row>
    <row r="11" spans="1:57" s="41" customFormat="1" x14ac:dyDescent="0.3">
      <c r="A11" s="8">
        <v>9</v>
      </c>
      <c r="B11" s="11" t="s">
        <v>66</v>
      </c>
      <c r="C11" s="11">
        <v>445904850.77100003</v>
      </c>
      <c r="D11" s="11">
        <v>464794723.58400011</v>
      </c>
      <c r="E11" s="11">
        <v>484068202.27200013</v>
      </c>
      <c r="F11" s="11">
        <v>503725286.8350001</v>
      </c>
      <c r="G11" s="11">
        <v>523765977.27300006</v>
      </c>
      <c r="H11" s="11">
        <v>544190273.58599997</v>
      </c>
      <c r="I11" s="11">
        <v>564998175.77400017</v>
      </c>
      <c r="J11" s="11">
        <v>586189683.83700001</v>
      </c>
      <c r="K11" s="11">
        <v>607764797.7750001</v>
      </c>
      <c r="L11" s="11">
        <v>629723517.58800006</v>
      </c>
      <c r="M11" s="11">
        <v>652065843.27600002</v>
      </c>
      <c r="N11" s="11">
        <v>657957025.09440017</v>
      </c>
      <c r="O11" s="11">
        <v>663870017.21039999</v>
      </c>
      <c r="P11" s="11">
        <v>669804819.62399995</v>
      </c>
      <c r="Q11" s="11">
        <v>675761432.33519995</v>
      </c>
      <c r="R11" s="11">
        <v>681739855.3440001</v>
      </c>
      <c r="S11" s="11">
        <v>694217666.62080002</v>
      </c>
      <c r="T11" s="11">
        <v>706750577.59680009</v>
      </c>
      <c r="U11" s="11">
        <v>719338588.27200007</v>
      </c>
      <c r="V11" s="11">
        <v>731981698.64640009</v>
      </c>
      <c r="W11" s="11">
        <v>746573960.88</v>
      </c>
      <c r="X11" s="11">
        <v>760912841.06284857</v>
      </c>
      <c r="Y11" s="11">
        <v>775300741.0634805</v>
      </c>
      <c r="Z11" s="11">
        <v>789737661.11605108</v>
      </c>
      <c r="AA11" s="11">
        <v>804223601.22056007</v>
      </c>
      <c r="AB11" s="11">
        <v>818758561.37700725</v>
      </c>
      <c r="AC11" s="11">
        <v>813664491.45460117</v>
      </c>
      <c r="AD11" s="11">
        <v>808545481.50577021</v>
      </c>
      <c r="AE11" s="11">
        <v>803401531.53051448</v>
      </c>
      <c r="AF11" s="11">
        <v>798232641.52883387</v>
      </c>
      <c r="AG11" s="11">
        <v>794518015.53600001</v>
      </c>
      <c r="AH11" s="11">
        <v>813267645.7386961</v>
      </c>
      <c r="AI11" s="11">
        <v>832235923.51257598</v>
      </c>
      <c r="AJ11" s="11">
        <v>851422843.33884013</v>
      </c>
      <c r="AK11" s="11">
        <v>870828409.38024008</v>
      </c>
      <c r="AL11" s="11">
        <v>890452620.24919212</v>
      </c>
      <c r="AM11" s="11">
        <v>888032814.84919798</v>
      </c>
      <c r="AN11" s="11">
        <v>900345461.09976006</v>
      </c>
      <c r="AO11" s="11">
        <v>926618364.75406492</v>
      </c>
      <c r="AP11" s="11">
        <v>951968754.37422013</v>
      </c>
      <c r="AQ11" s="11">
        <v>989296887.09599996</v>
      </c>
      <c r="AR11" s="11">
        <v>1012978038.7534845</v>
      </c>
      <c r="AS11" s="11">
        <v>1063124981.6401759</v>
      </c>
      <c r="AT11" s="11">
        <v>1089107920.3806484</v>
      </c>
      <c r="AU11" s="11">
        <v>1113198313.7001362</v>
      </c>
      <c r="AV11" s="11">
        <v>1136323255.1638649</v>
      </c>
      <c r="AW11" s="11">
        <v>1157604454.0322745</v>
      </c>
      <c r="AX11" s="11">
        <v>1177372998.7840509</v>
      </c>
      <c r="AY11" s="11">
        <v>1197043236.8395505</v>
      </c>
      <c r="AZ11" s="11">
        <v>1216801479.2836406</v>
      </c>
      <c r="BA11" s="11">
        <f>BA50</f>
        <v>1117449010.6539607</v>
      </c>
      <c r="BB11" s="11">
        <f>BB50</f>
        <v>1133393564.5906646</v>
      </c>
      <c r="BC11" s="11">
        <f>BC50</f>
        <v>1149362799.9870114</v>
      </c>
      <c r="BD11" s="11">
        <f>BD50</f>
        <v>1165356716.8430014</v>
      </c>
      <c r="BE11" s="11"/>
    </row>
    <row r="12" spans="1:57" s="39" customFormat="1" x14ac:dyDescent="0.3">
      <c r="A12" s="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row>
    <row r="13" spans="1:57" s="39" customFormat="1" x14ac:dyDescent="0.3">
      <c r="A13" s="125" t="s">
        <v>5</v>
      </c>
      <c r="B13" s="125"/>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row>
    <row r="14" spans="1:57" s="39" customFormat="1" x14ac:dyDescent="0.3">
      <c r="A14" s="38">
        <v>1</v>
      </c>
      <c r="B14" s="38" t="s">
        <v>67</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row>
    <row r="15" spans="1:57" s="39" customFormat="1" x14ac:dyDescent="0.3">
      <c r="A15" s="38">
        <v>2</v>
      </c>
      <c r="B15" s="38" t="s">
        <v>68</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row>
    <row r="16" spans="1:57" s="39" customFormat="1" x14ac:dyDescent="0.3">
      <c r="A16" s="38">
        <v>3</v>
      </c>
      <c r="B16" s="14" t="s">
        <v>69</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row>
    <row r="17" spans="1:57" s="39" customFormat="1" x14ac:dyDescent="0.3">
      <c r="A17" s="38">
        <v>4</v>
      </c>
      <c r="B17" s="14" t="s">
        <v>70</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row>
    <row r="18" spans="1:57" s="39" customFormat="1" x14ac:dyDescent="0.3">
      <c r="A18" s="38">
        <v>5</v>
      </c>
      <c r="B18" s="38" t="s">
        <v>71</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row>
    <row r="19" spans="1:57" s="39" customFormat="1" x14ac:dyDescent="0.3">
      <c r="A19" s="38">
        <v>6</v>
      </c>
      <c r="B19" s="38" t="s">
        <v>72</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row>
    <row r="20" spans="1:57" s="39" customFormat="1" x14ac:dyDescent="0.3">
      <c r="A20" s="38">
        <v>7</v>
      </c>
      <c r="B20" s="38" t="s">
        <v>73</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row>
    <row r="21" spans="1:57" s="39" customFormat="1" x14ac:dyDescent="0.3">
      <c r="A21" s="38">
        <v>8</v>
      </c>
      <c r="B21" s="38" t="s">
        <v>74</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row>
    <row r="22" spans="1:57" s="39" customFormat="1" x14ac:dyDescent="0.3">
      <c r="A22" s="38">
        <v>9</v>
      </c>
      <c r="B22" s="38" t="s">
        <v>75</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row>
    <row r="23" spans="1:57" s="39" customFormat="1" x14ac:dyDescent="0.3">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row>
    <row r="24" spans="1:57" s="39" customFormat="1" x14ac:dyDescent="0.3">
      <c r="A24" s="38"/>
      <c r="B24" s="4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row>
    <row r="25" spans="1:57" s="39" customFormat="1" x14ac:dyDescent="0.3">
      <c r="A25" s="125" t="s">
        <v>10</v>
      </c>
      <c r="B25" s="130"/>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row>
    <row r="26" spans="1:57" s="45" customFormat="1" x14ac:dyDescent="0.3">
      <c r="A26" s="18">
        <v>1</v>
      </c>
      <c r="B26" s="18" t="s">
        <v>76</v>
      </c>
      <c r="C26" s="18">
        <f>C52</f>
        <v>0.57331208677099998</v>
      </c>
      <c r="D26" s="18">
        <f t="shared" ref="D26:BB26" si="3">D52</f>
        <v>0.60102902758400012</v>
      </c>
      <c r="E26" s="18">
        <f t="shared" si="3"/>
        <v>0.64220110467200009</v>
      </c>
      <c r="F26" s="18">
        <f t="shared" si="3"/>
        <v>0.67354986043500009</v>
      </c>
      <c r="G26" s="18">
        <f t="shared" si="3"/>
        <v>0.70589624987300004</v>
      </c>
      <c r="H26" s="18">
        <f t="shared" si="3"/>
        <v>0.73022794038599992</v>
      </c>
      <c r="I26" s="18">
        <f t="shared" si="3"/>
        <v>0.75543440617400026</v>
      </c>
      <c r="J26" s="18">
        <f t="shared" si="3"/>
        <v>0.79864510337700012</v>
      </c>
      <c r="K26" s="18">
        <f t="shared" si="3"/>
        <v>0.82725655597500014</v>
      </c>
      <c r="L26" s="18">
        <f t="shared" si="3"/>
        <v>0.86387558118800012</v>
      </c>
      <c r="M26" s="18">
        <f t="shared" si="3"/>
        <v>0.88754070067599999</v>
      </c>
      <c r="N26" s="18">
        <f t="shared" si="3"/>
        <v>0.91323415569440014</v>
      </c>
      <c r="O26" s="18">
        <f t="shared" si="3"/>
        <v>0.95701351721039996</v>
      </c>
      <c r="P26" s="18">
        <f t="shared" si="3"/>
        <v>1.0174205796239999</v>
      </c>
      <c r="Q26" s="18">
        <f t="shared" si="3"/>
        <v>1.0379288923351999</v>
      </c>
      <c r="R26" s="18">
        <f t="shared" si="3"/>
        <v>1.0428606153440001</v>
      </c>
      <c r="S26" s="18">
        <f t="shared" si="3"/>
        <v>1.0609821066208001</v>
      </c>
      <c r="T26" s="18">
        <f t="shared" si="3"/>
        <v>1.0782419775968002</v>
      </c>
      <c r="U26" s="18">
        <f t="shared" si="3"/>
        <v>1.090799788272</v>
      </c>
      <c r="V26" s="18">
        <f t="shared" si="3"/>
        <v>1.1101867986464</v>
      </c>
      <c r="W26" s="18">
        <f t="shared" si="3"/>
        <v>1.1335234608800002</v>
      </c>
      <c r="X26" s="18">
        <f t="shared" si="3"/>
        <v>1.1389275610628486</v>
      </c>
      <c r="Y26" s="18">
        <f t="shared" si="3"/>
        <v>1.0989437410634804</v>
      </c>
      <c r="Z26" s="18">
        <f t="shared" si="3"/>
        <v>1.1414297211160511</v>
      </c>
      <c r="AA26" s="18">
        <f t="shared" si="3"/>
        <v>1.1408994812205602</v>
      </c>
      <c r="AB26" s="18">
        <f t="shared" si="3"/>
        <v>1.1574552013770072</v>
      </c>
      <c r="AC26" s="18">
        <f t="shared" si="3"/>
        <v>1.1377260914546012</v>
      </c>
      <c r="AD26" s="18">
        <f t="shared" si="3"/>
        <v>1.1409699615057702</v>
      </c>
      <c r="AE26" s="18">
        <f t="shared" si="3"/>
        <v>1.1462796115305145</v>
      </c>
      <c r="AF26" s="18">
        <f t="shared" si="3"/>
        <v>1.1243849615288339</v>
      </c>
      <c r="AG26" s="18">
        <f t="shared" si="3"/>
        <v>1.1311239355360001</v>
      </c>
      <c r="AH26" s="18">
        <f t="shared" si="3"/>
        <v>1.1603271657386962</v>
      </c>
      <c r="AI26" s="18">
        <f t="shared" si="3"/>
        <v>1.2002026435125761</v>
      </c>
      <c r="AJ26" s="18">
        <f t="shared" si="3"/>
        <v>1.2068452433388399</v>
      </c>
      <c r="AK26" s="18">
        <f t="shared" si="3"/>
        <v>1.23461368938024</v>
      </c>
      <c r="AL26" s="18">
        <f t="shared" si="3"/>
        <v>1.2040606202491921</v>
      </c>
      <c r="AM26" s="18">
        <f t="shared" si="3"/>
        <v>1.2288201748491978</v>
      </c>
      <c r="AN26" s="18">
        <f t="shared" si="3"/>
        <v>1.21604418109976</v>
      </c>
      <c r="AO26" s="18">
        <f t="shared" si="3"/>
        <v>1.2694964447540651</v>
      </c>
      <c r="AP26" s="18">
        <f t="shared" si="3"/>
        <v>1.2969877316542202</v>
      </c>
      <c r="AQ26" s="18">
        <f t="shared" si="3"/>
        <v>1.346762433096</v>
      </c>
      <c r="AR26" s="18">
        <f t="shared" si="3"/>
        <v>1.3690792348995546</v>
      </c>
      <c r="AS26" s="18">
        <f t="shared" si="3"/>
        <v>1.3852769779117382</v>
      </c>
      <c r="AT26" s="18">
        <f t="shared" si="3"/>
        <v>1.3745292766156025</v>
      </c>
      <c r="AU26" s="18">
        <f t="shared" si="3"/>
        <v>1.3958756833149404</v>
      </c>
      <c r="AV26" s="18">
        <f t="shared" si="3"/>
        <v>1.3970332143481308</v>
      </c>
      <c r="AW26" s="18">
        <f t="shared" si="3"/>
        <v>1.3975519203040891</v>
      </c>
      <c r="AX26" s="18">
        <f t="shared" si="3"/>
        <v>1.3630988975282836</v>
      </c>
      <c r="AY26" s="18">
        <f t="shared" si="3"/>
        <v>1.3644478391411747</v>
      </c>
      <c r="AZ26" s="18">
        <f t="shared" si="3"/>
        <v>1.3740057312290819</v>
      </c>
      <c r="BA26" s="18">
        <f t="shared" si="3"/>
        <v>1.3983761466539606</v>
      </c>
      <c r="BB26" s="18">
        <f t="shared" si="3"/>
        <v>1.4221068637906646</v>
      </c>
      <c r="BC26" s="18">
        <f>BC52</f>
        <v>1.4275050463870116</v>
      </c>
      <c r="BD26" s="18">
        <f>BD52</f>
        <v>1.4618760878430013</v>
      </c>
      <c r="BE26" s="18"/>
    </row>
    <row r="27" spans="1:57" s="46" customFormat="1" x14ac:dyDescent="0.3">
      <c r="A27" s="21">
        <v>2</v>
      </c>
      <c r="B27" s="21" t="s">
        <v>77</v>
      </c>
      <c r="C27" s="21">
        <v>5140</v>
      </c>
      <c r="D27" s="21">
        <v>5296</v>
      </c>
      <c r="E27" s="21">
        <v>6022</v>
      </c>
      <c r="F27" s="21">
        <v>6402</v>
      </c>
      <c r="G27" s="21">
        <v>6697</v>
      </c>
      <c r="H27" s="21">
        <v>6978</v>
      </c>
      <c r="I27" s="21">
        <v>7072</v>
      </c>
      <c r="J27" s="21"/>
      <c r="K27" s="21">
        <v>8151</v>
      </c>
      <c r="L27" s="21">
        <v>8827</v>
      </c>
      <c r="M27" s="21">
        <v>9299</v>
      </c>
      <c r="N27" s="21">
        <v>10081</v>
      </c>
      <c r="O27" s="21">
        <v>11700</v>
      </c>
      <c r="P27" s="21">
        <v>14100</v>
      </c>
      <c r="Q27" s="21">
        <v>15100</v>
      </c>
      <c r="R27" s="21">
        <v>15400</v>
      </c>
      <c r="S27" s="21">
        <v>16100</v>
      </c>
      <c r="T27" s="21">
        <v>16600</v>
      </c>
      <c r="U27" s="21">
        <v>16500</v>
      </c>
      <c r="V27" s="21">
        <v>16900</v>
      </c>
      <c r="W27" s="21">
        <v>17500</v>
      </c>
      <c r="X27" s="21">
        <v>17200</v>
      </c>
      <c r="Y27" s="21">
        <v>15000</v>
      </c>
      <c r="Z27" s="21">
        <v>16300</v>
      </c>
      <c r="AA27" s="21">
        <v>15800</v>
      </c>
      <c r="AB27" s="21">
        <v>16200</v>
      </c>
      <c r="AC27" s="21">
        <v>15500</v>
      </c>
      <c r="AD27" s="21">
        <v>15900</v>
      </c>
      <c r="AE27" s="21">
        <v>16400</v>
      </c>
      <c r="AF27" s="21">
        <v>15600</v>
      </c>
      <c r="AG27" s="21">
        <v>16100</v>
      </c>
      <c r="AH27" s="21">
        <v>16600</v>
      </c>
      <c r="AI27" s="21">
        <v>17600</v>
      </c>
      <c r="AJ27" s="21">
        <v>17000</v>
      </c>
      <c r="AK27" s="21">
        <v>17400</v>
      </c>
      <c r="AL27" s="21">
        <v>15000</v>
      </c>
      <c r="AM27" s="21">
        <v>16300</v>
      </c>
      <c r="AN27" s="21">
        <v>15100</v>
      </c>
      <c r="AO27" s="21">
        <v>16400</v>
      </c>
      <c r="AP27" s="21">
        <v>16502.400000000001</v>
      </c>
      <c r="AQ27" s="21">
        <v>17514</v>
      </c>
      <c r="AR27" s="21">
        <v>17955</v>
      </c>
      <c r="AS27" s="21">
        <v>18449</v>
      </c>
      <c r="AT27" s="21">
        <v>17642</v>
      </c>
      <c r="AU27" s="21">
        <v>17802</v>
      </c>
      <c r="AV27" s="21">
        <v>17233</v>
      </c>
      <c r="AW27" s="21">
        <v>17065</v>
      </c>
      <c r="AX27" s="21">
        <v>16662</v>
      </c>
      <c r="AY27" s="21">
        <v>16167</v>
      </c>
      <c r="AZ27" s="21">
        <v>15778</v>
      </c>
      <c r="BA27" s="21">
        <v>16324</v>
      </c>
      <c r="BB27" s="21">
        <v>16824</v>
      </c>
      <c r="BC27" s="21">
        <v>16208</v>
      </c>
      <c r="BD27" s="21"/>
      <c r="BE27" s="21"/>
    </row>
    <row r="28" spans="1:57" s="46" customFormat="1" x14ac:dyDescent="0.3">
      <c r="A28" s="21">
        <v>3</v>
      </c>
      <c r="B28" s="21" t="s">
        <v>78</v>
      </c>
      <c r="C28" s="21"/>
      <c r="D28" s="21"/>
      <c r="E28" s="21"/>
      <c r="F28" s="21"/>
      <c r="G28" s="21"/>
      <c r="H28" s="21"/>
      <c r="I28" s="21"/>
      <c r="J28" s="21">
        <v>7889.7</v>
      </c>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row>
    <row r="29" spans="1:57" s="45" customFormat="1" x14ac:dyDescent="0.3">
      <c r="A29" s="18">
        <v>4</v>
      </c>
      <c r="B29" s="18" t="s">
        <v>79</v>
      </c>
      <c r="C29" s="18">
        <v>5140</v>
      </c>
      <c r="D29" s="18">
        <v>5296</v>
      </c>
      <c r="E29" s="18">
        <v>6022</v>
      </c>
      <c r="F29" s="18">
        <v>6402</v>
      </c>
      <c r="G29" s="18">
        <v>6697</v>
      </c>
      <c r="H29" s="18">
        <v>6978</v>
      </c>
      <c r="I29" s="18">
        <v>7072</v>
      </c>
      <c r="J29" s="18">
        <v>7889.7</v>
      </c>
      <c r="K29" s="18">
        <v>8151</v>
      </c>
      <c r="L29" s="18">
        <v>8827</v>
      </c>
      <c r="M29" s="18">
        <v>9299</v>
      </c>
      <c r="N29" s="18">
        <v>10081</v>
      </c>
      <c r="O29" s="18">
        <v>11700</v>
      </c>
      <c r="P29" s="18">
        <v>14100</v>
      </c>
      <c r="Q29" s="18">
        <v>15100</v>
      </c>
      <c r="R29" s="18">
        <v>15400</v>
      </c>
      <c r="S29" s="18">
        <v>16100</v>
      </c>
      <c r="T29" s="18">
        <v>16600</v>
      </c>
      <c r="U29" s="18">
        <v>16500</v>
      </c>
      <c r="V29" s="18">
        <v>16900</v>
      </c>
      <c r="W29" s="18">
        <v>17500</v>
      </c>
      <c r="X29" s="18">
        <v>17200</v>
      </c>
      <c r="Y29" s="18">
        <v>15000</v>
      </c>
      <c r="Z29" s="18">
        <v>16300</v>
      </c>
      <c r="AA29" s="18">
        <v>15800</v>
      </c>
      <c r="AB29" s="18">
        <v>16200</v>
      </c>
      <c r="AC29" s="18">
        <v>15500</v>
      </c>
      <c r="AD29" s="18">
        <v>15900</v>
      </c>
      <c r="AE29" s="18">
        <v>16400</v>
      </c>
      <c r="AF29" s="18">
        <v>15600</v>
      </c>
      <c r="AG29" s="18">
        <v>16100</v>
      </c>
      <c r="AH29" s="18">
        <v>16600</v>
      </c>
      <c r="AI29" s="18">
        <v>17600</v>
      </c>
      <c r="AJ29" s="18">
        <v>17000</v>
      </c>
      <c r="AK29" s="18">
        <v>17400</v>
      </c>
      <c r="AL29" s="18">
        <v>15000</v>
      </c>
      <c r="AM29" s="18">
        <v>16300</v>
      </c>
      <c r="AN29" s="18">
        <v>15100</v>
      </c>
      <c r="AO29" s="18">
        <v>16400</v>
      </c>
      <c r="AP29" s="18">
        <f>AP27</f>
        <v>16502.400000000001</v>
      </c>
      <c r="AQ29" s="18">
        <v>17514</v>
      </c>
      <c r="AR29" s="18">
        <v>17955</v>
      </c>
      <c r="AS29" s="18">
        <f>AS27</f>
        <v>18449</v>
      </c>
      <c r="AT29" s="18">
        <f>AT27</f>
        <v>17642</v>
      </c>
      <c r="AU29" s="18">
        <v>17802</v>
      </c>
      <c r="AV29" s="18">
        <v>17233</v>
      </c>
      <c r="AW29" s="18">
        <v>17065</v>
      </c>
      <c r="AX29" s="18">
        <v>16662</v>
      </c>
      <c r="AY29" s="18">
        <v>16167</v>
      </c>
      <c r="AZ29" s="18">
        <v>15778</v>
      </c>
      <c r="BA29" s="18">
        <v>16324</v>
      </c>
      <c r="BB29" s="18">
        <v>16824</v>
      </c>
      <c r="BC29" s="18">
        <v>16208</v>
      </c>
      <c r="BD29" s="18">
        <v>15416</v>
      </c>
      <c r="BE29" s="47"/>
    </row>
    <row r="30" spans="1:57" s="46" customFormat="1" x14ac:dyDescent="0.3">
      <c r="A30" s="21">
        <v>5</v>
      </c>
      <c r="B30" s="21" t="s">
        <v>80</v>
      </c>
      <c r="C30" s="21">
        <v>1.7</v>
      </c>
      <c r="D30" s="21">
        <v>1.7</v>
      </c>
      <c r="E30" s="21">
        <v>1.9</v>
      </c>
      <c r="F30" s="21">
        <v>1.9</v>
      </c>
      <c r="G30" s="21">
        <v>1.9</v>
      </c>
      <c r="H30" s="21">
        <v>2</v>
      </c>
      <c r="I30" s="21">
        <v>2</v>
      </c>
      <c r="J30" s="21"/>
      <c r="K30" s="21">
        <v>2.2000000000000002</v>
      </c>
      <c r="L30" s="21">
        <v>2.2999999999999998</v>
      </c>
      <c r="M30" s="21">
        <v>2.4</v>
      </c>
      <c r="N30" s="21">
        <v>2.5</v>
      </c>
      <c r="O30" s="21">
        <v>2.9</v>
      </c>
      <c r="P30" s="21">
        <v>3.5</v>
      </c>
      <c r="Q30" s="21">
        <v>3.7</v>
      </c>
      <c r="R30" s="21">
        <v>3.8</v>
      </c>
      <c r="S30" s="21">
        <v>3.9</v>
      </c>
      <c r="T30" s="21">
        <v>4</v>
      </c>
      <c r="U30" s="21">
        <v>4</v>
      </c>
      <c r="V30" s="21">
        <v>4.0999999999999996</v>
      </c>
      <c r="W30" s="21">
        <v>4.0999999999999996</v>
      </c>
      <c r="X30" s="21">
        <v>4</v>
      </c>
      <c r="Y30" s="21">
        <v>3.5</v>
      </c>
      <c r="Z30" s="21">
        <v>3.8</v>
      </c>
      <c r="AA30" s="21">
        <v>3.6</v>
      </c>
      <c r="AB30" s="21">
        <v>3.7</v>
      </c>
      <c r="AC30" s="21">
        <v>3.5</v>
      </c>
      <c r="AD30" s="21">
        <v>3.5</v>
      </c>
      <c r="AE30" s="21">
        <v>3.6</v>
      </c>
      <c r="AF30" s="21">
        <v>3.3</v>
      </c>
      <c r="AG30" s="21">
        <v>3.4</v>
      </c>
      <c r="AH30" s="21">
        <v>3.4</v>
      </c>
      <c r="AI30" s="21">
        <v>3.6</v>
      </c>
      <c r="AJ30" s="21">
        <v>3.4</v>
      </c>
      <c r="AK30" s="21">
        <v>3.5</v>
      </c>
      <c r="AL30" s="21">
        <v>3</v>
      </c>
      <c r="AM30" s="21"/>
      <c r="AN30" s="21">
        <v>3</v>
      </c>
      <c r="AO30" s="21">
        <v>2.9</v>
      </c>
      <c r="AP30" s="21">
        <v>3.2</v>
      </c>
      <c r="AQ30" s="21">
        <v>3.3</v>
      </c>
      <c r="AR30" s="21">
        <v>3</v>
      </c>
      <c r="AS30" s="21">
        <v>3.4</v>
      </c>
      <c r="AT30" s="21">
        <v>3.2</v>
      </c>
      <c r="AU30" s="21">
        <v>3.1</v>
      </c>
      <c r="AV30" s="21">
        <v>3.1</v>
      </c>
      <c r="AW30" s="21">
        <v>3</v>
      </c>
      <c r="AX30" s="21">
        <v>3</v>
      </c>
      <c r="AY30" s="21">
        <v>2.8771742988995386</v>
      </c>
      <c r="AZ30" s="21"/>
      <c r="BA30" s="21"/>
      <c r="BB30" s="21"/>
      <c r="BC30" s="21"/>
      <c r="BD30" s="21"/>
      <c r="BE30" s="21"/>
    </row>
    <row r="31" spans="1:57" s="46" customFormat="1" x14ac:dyDescent="0.3">
      <c r="A31" s="21">
        <v>6</v>
      </c>
      <c r="B31" s="21" t="s">
        <v>81</v>
      </c>
      <c r="C31" s="21"/>
      <c r="D31" s="21"/>
      <c r="E31" s="21"/>
      <c r="F31" s="21"/>
      <c r="G31" s="21"/>
      <c r="H31" s="21"/>
      <c r="I31" s="21"/>
      <c r="J31" s="21">
        <v>2.1</v>
      </c>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v>3</v>
      </c>
      <c r="AN31" s="21"/>
      <c r="AO31" s="21"/>
      <c r="AP31" s="21"/>
      <c r="AQ31" s="21"/>
      <c r="AR31" s="21"/>
      <c r="AS31" s="21"/>
      <c r="AT31" s="21"/>
      <c r="AU31" s="21"/>
      <c r="AV31" s="21"/>
      <c r="AW31" s="21"/>
      <c r="AX31" s="21"/>
      <c r="AY31" s="21"/>
      <c r="AZ31" s="21"/>
      <c r="BA31" s="21"/>
      <c r="BB31" s="21"/>
      <c r="BC31" s="21"/>
      <c r="BD31" s="21"/>
      <c r="BE31" s="21"/>
    </row>
    <row r="32" spans="1:57" s="46" customFormat="1" x14ac:dyDescent="0.3">
      <c r="A32" s="21">
        <v>7</v>
      </c>
      <c r="B32" s="21" t="s">
        <v>82</v>
      </c>
      <c r="C32" s="21">
        <v>1.7</v>
      </c>
      <c r="D32" s="21">
        <v>1.7</v>
      </c>
      <c r="E32" s="21">
        <v>1.9</v>
      </c>
      <c r="F32" s="21">
        <v>1.9</v>
      </c>
      <c r="G32" s="21">
        <v>1.9</v>
      </c>
      <c r="H32" s="21">
        <v>2</v>
      </c>
      <c r="I32" s="21">
        <v>2</v>
      </c>
      <c r="J32" s="21">
        <v>2.1</v>
      </c>
      <c r="K32" s="21">
        <v>2.2000000000000002</v>
      </c>
      <c r="L32" s="21">
        <v>2.2999999999999998</v>
      </c>
      <c r="M32" s="21">
        <v>2.4</v>
      </c>
      <c r="N32" s="21">
        <v>2.5</v>
      </c>
      <c r="O32" s="21">
        <v>2.9</v>
      </c>
      <c r="P32" s="21">
        <v>3.5</v>
      </c>
      <c r="Q32" s="21">
        <v>3.7</v>
      </c>
      <c r="R32" s="21">
        <v>3.8</v>
      </c>
      <c r="S32" s="21">
        <v>3.9</v>
      </c>
      <c r="T32" s="21">
        <v>4</v>
      </c>
      <c r="U32" s="21">
        <v>4</v>
      </c>
      <c r="V32" s="21">
        <v>4.0999999999999996</v>
      </c>
      <c r="W32" s="21">
        <v>4.0999999999999996</v>
      </c>
      <c r="X32" s="21">
        <v>4</v>
      </c>
      <c r="Y32" s="21">
        <v>3.5</v>
      </c>
      <c r="Z32" s="21">
        <v>3.8</v>
      </c>
      <c r="AA32" s="21">
        <v>3.6</v>
      </c>
      <c r="AB32" s="21">
        <v>3.7</v>
      </c>
      <c r="AC32" s="21">
        <v>3.5</v>
      </c>
      <c r="AD32" s="21">
        <v>3.5</v>
      </c>
      <c r="AE32" s="21">
        <v>3.6</v>
      </c>
      <c r="AF32" s="21">
        <v>3.3</v>
      </c>
      <c r="AG32" s="21">
        <v>3.4</v>
      </c>
      <c r="AH32" s="21">
        <v>3.4</v>
      </c>
      <c r="AI32" s="21">
        <v>3.6</v>
      </c>
      <c r="AJ32" s="21">
        <v>3.4</v>
      </c>
      <c r="AK32" s="21">
        <v>3.5</v>
      </c>
      <c r="AL32" s="21">
        <v>3</v>
      </c>
      <c r="AM32" s="21">
        <v>3</v>
      </c>
      <c r="AN32" s="21">
        <v>3</v>
      </c>
      <c r="AO32" s="21">
        <v>2.9</v>
      </c>
      <c r="AP32" s="21">
        <v>3.2</v>
      </c>
      <c r="AQ32" s="21">
        <v>3.3</v>
      </c>
      <c r="AR32" s="21">
        <v>3</v>
      </c>
      <c r="AS32" s="21">
        <v>3.4</v>
      </c>
      <c r="AT32" s="21">
        <v>3.2</v>
      </c>
      <c r="AU32" s="21">
        <v>3.1</v>
      </c>
      <c r="AV32" s="21">
        <v>3.1</v>
      </c>
      <c r="AW32" s="21">
        <v>3</v>
      </c>
      <c r="AX32" s="21">
        <v>3</v>
      </c>
      <c r="AY32" s="21">
        <v>2.8771742988995386</v>
      </c>
      <c r="AZ32" s="21"/>
      <c r="BA32" s="21"/>
      <c r="BB32" s="21"/>
      <c r="BC32" s="21"/>
      <c r="BD32" s="21"/>
      <c r="BE32" s="21"/>
    </row>
    <row r="33" spans="1:57" s="45" customFormat="1" x14ac:dyDescent="0.3">
      <c r="A33" s="18">
        <v>8</v>
      </c>
      <c r="B33" s="18" t="s">
        <v>83</v>
      </c>
      <c r="C33" s="18">
        <v>1.18</v>
      </c>
      <c r="D33" s="18">
        <v>1.25</v>
      </c>
      <c r="E33" s="18">
        <v>1.29</v>
      </c>
      <c r="F33" s="18">
        <v>1.31</v>
      </c>
      <c r="G33" s="18">
        <v>1.36</v>
      </c>
      <c r="H33" s="18">
        <v>1.32</v>
      </c>
      <c r="I33" s="18">
        <v>1.34</v>
      </c>
      <c r="J33" s="18">
        <v>1.34</v>
      </c>
      <c r="K33" s="18">
        <v>1.34</v>
      </c>
      <c r="L33" s="18">
        <v>1.31</v>
      </c>
      <c r="M33" s="18">
        <v>1.22</v>
      </c>
      <c r="N33" s="18">
        <v>1.22</v>
      </c>
      <c r="O33" s="18">
        <v>1.2</v>
      </c>
      <c r="P33" s="18">
        <v>1.17</v>
      </c>
      <c r="Q33" s="18">
        <v>1.1200000000000001</v>
      </c>
      <c r="R33" s="18">
        <v>1.08</v>
      </c>
      <c r="S33" s="18">
        <v>1.03</v>
      </c>
      <c r="T33" s="18">
        <v>1</v>
      </c>
      <c r="U33" s="18">
        <v>1.01</v>
      </c>
      <c r="V33" s="18">
        <v>1</v>
      </c>
      <c r="W33" s="18">
        <v>0.98</v>
      </c>
      <c r="X33" s="18">
        <v>0.97</v>
      </c>
      <c r="Y33" s="18">
        <v>0.94</v>
      </c>
      <c r="Z33" s="18">
        <v>0.94</v>
      </c>
      <c r="AA33" s="18">
        <v>0.92</v>
      </c>
      <c r="AB33" s="18">
        <v>0.89</v>
      </c>
      <c r="AC33" s="18">
        <v>0.89</v>
      </c>
      <c r="AD33" s="18">
        <v>0.89</v>
      </c>
      <c r="AE33" s="18">
        <v>0.89</v>
      </c>
      <c r="AF33" s="18">
        <v>0.89</v>
      </c>
      <c r="AG33" s="18">
        <v>0.89</v>
      </c>
      <c r="AH33" s="18">
        <v>0.89</v>
      </c>
      <c r="AI33" s="18">
        <v>0.89</v>
      </c>
      <c r="AJ33" s="18">
        <v>0.89</v>
      </c>
      <c r="AK33" s="18">
        <v>0.89</v>
      </c>
      <c r="AL33" s="18">
        <v>0.89</v>
      </c>
      <c r="AM33" s="18">
        <v>0.89</v>
      </c>
      <c r="AN33" s="18">
        <v>0.89</v>
      </c>
      <c r="AO33" s="18">
        <v>0.89</v>
      </c>
      <c r="AP33" s="18">
        <v>0.89</v>
      </c>
      <c r="AQ33" s="18">
        <v>0.85</v>
      </c>
      <c r="AR33" s="18">
        <v>0.86</v>
      </c>
      <c r="AS33" s="18">
        <v>0.83</v>
      </c>
      <c r="AT33" s="18">
        <v>0.8</v>
      </c>
      <c r="AU33" s="18">
        <v>0.83</v>
      </c>
      <c r="AV33" s="18">
        <v>0.83</v>
      </c>
      <c r="AW33" s="18">
        <v>0.78</v>
      </c>
      <c r="AX33" s="18">
        <v>0.64</v>
      </c>
      <c r="AY33" s="18">
        <v>0.63</v>
      </c>
      <c r="AZ33" s="18">
        <v>0.64</v>
      </c>
      <c r="BA33" s="18">
        <v>0.61</v>
      </c>
      <c r="BB33" s="18">
        <v>0.61</v>
      </c>
      <c r="BC33" s="18">
        <v>0.61</v>
      </c>
      <c r="BD33" s="48">
        <f>BD34/BD29</f>
        <v>0.76485469641930459</v>
      </c>
      <c r="BE33" s="18"/>
    </row>
    <row r="34" spans="1:57" s="45" customFormat="1" x14ac:dyDescent="0.3">
      <c r="A34" s="18">
        <v>9</v>
      </c>
      <c r="B34" s="18" t="s">
        <v>84</v>
      </c>
      <c r="C34" s="18">
        <f>C29*C33</f>
        <v>6065.2</v>
      </c>
      <c r="D34" s="18">
        <f>D29*D33</f>
        <v>6620</v>
      </c>
      <c r="E34" s="18">
        <f t="shared" ref="E34:BB34" si="4">E29*E33</f>
        <v>7768.38</v>
      </c>
      <c r="F34" s="18">
        <f t="shared" si="4"/>
        <v>8386.6200000000008</v>
      </c>
      <c r="G34" s="18">
        <f t="shared" si="4"/>
        <v>9107.92</v>
      </c>
      <c r="H34" s="18">
        <f t="shared" si="4"/>
        <v>9210.9600000000009</v>
      </c>
      <c r="I34" s="18">
        <f t="shared" si="4"/>
        <v>9476.4800000000014</v>
      </c>
      <c r="J34" s="18">
        <f t="shared" si="4"/>
        <v>10572.198</v>
      </c>
      <c r="K34" s="18">
        <f t="shared" si="4"/>
        <v>10922.34</v>
      </c>
      <c r="L34" s="18">
        <f t="shared" si="4"/>
        <v>11563.37</v>
      </c>
      <c r="M34" s="18">
        <f t="shared" si="4"/>
        <v>11344.78</v>
      </c>
      <c r="N34" s="18">
        <f t="shared" si="4"/>
        <v>12298.82</v>
      </c>
      <c r="O34" s="18">
        <f t="shared" si="4"/>
        <v>14040</v>
      </c>
      <c r="P34" s="18">
        <f t="shared" si="4"/>
        <v>16497</v>
      </c>
      <c r="Q34" s="18">
        <f t="shared" si="4"/>
        <v>16912</v>
      </c>
      <c r="R34" s="18">
        <f t="shared" si="4"/>
        <v>16632</v>
      </c>
      <c r="S34" s="18">
        <f t="shared" si="4"/>
        <v>16583</v>
      </c>
      <c r="T34" s="18">
        <f t="shared" si="4"/>
        <v>16600</v>
      </c>
      <c r="U34" s="18">
        <f t="shared" si="4"/>
        <v>16665</v>
      </c>
      <c r="V34" s="18">
        <f t="shared" si="4"/>
        <v>16900</v>
      </c>
      <c r="W34" s="18">
        <f t="shared" si="4"/>
        <v>17150</v>
      </c>
      <c r="X34" s="18">
        <f t="shared" si="4"/>
        <v>16684</v>
      </c>
      <c r="Y34" s="18">
        <f t="shared" si="4"/>
        <v>14100</v>
      </c>
      <c r="Z34" s="18">
        <f t="shared" si="4"/>
        <v>15322</v>
      </c>
      <c r="AA34" s="18">
        <f t="shared" si="4"/>
        <v>14536</v>
      </c>
      <c r="AB34" s="18">
        <f t="shared" si="4"/>
        <v>14418</v>
      </c>
      <c r="AC34" s="18">
        <f t="shared" si="4"/>
        <v>13795</v>
      </c>
      <c r="AD34" s="18">
        <f t="shared" si="4"/>
        <v>14151</v>
      </c>
      <c r="AE34" s="18">
        <f t="shared" si="4"/>
        <v>14596</v>
      </c>
      <c r="AF34" s="18">
        <f t="shared" si="4"/>
        <v>13884</v>
      </c>
      <c r="AG34" s="18">
        <f t="shared" si="4"/>
        <v>14329</v>
      </c>
      <c r="AH34" s="18">
        <f t="shared" si="4"/>
        <v>14774</v>
      </c>
      <c r="AI34" s="18">
        <f t="shared" si="4"/>
        <v>15664</v>
      </c>
      <c r="AJ34" s="18">
        <f t="shared" si="4"/>
        <v>15130</v>
      </c>
      <c r="AK34" s="18">
        <f t="shared" si="4"/>
        <v>15486</v>
      </c>
      <c r="AL34" s="18">
        <f t="shared" si="4"/>
        <v>13350</v>
      </c>
      <c r="AM34" s="18">
        <f t="shared" si="4"/>
        <v>14507</v>
      </c>
      <c r="AN34" s="18">
        <f t="shared" si="4"/>
        <v>13439</v>
      </c>
      <c r="AO34" s="18">
        <f t="shared" si="4"/>
        <v>14596</v>
      </c>
      <c r="AP34" s="18">
        <f t="shared" si="4"/>
        <v>14687.136000000002</v>
      </c>
      <c r="AQ34" s="18">
        <v>14937</v>
      </c>
      <c r="AR34" s="18">
        <v>15397</v>
      </c>
      <c r="AS34" s="18">
        <v>15353</v>
      </c>
      <c r="AT34" s="18">
        <v>14159</v>
      </c>
      <c r="AU34" s="18">
        <v>14702</v>
      </c>
      <c r="AV34" s="18">
        <v>14215</v>
      </c>
      <c r="AW34" s="18">
        <v>13399</v>
      </c>
      <c r="AX34" s="18">
        <v>10654</v>
      </c>
      <c r="AY34" s="18">
        <v>10104</v>
      </c>
      <c r="AZ34" s="18">
        <v>10100</v>
      </c>
      <c r="BA34" s="18">
        <v>10017</v>
      </c>
      <c r="BB34" s="18">
        <f t="shared" si="4"/>
        <v>10262.64</v>
      </c>
      <c r="BC34" s="18">
        <f>BC29*BC33</f>
        <v>9886.8799999999992</v>
      </c>
      <c r="BD34" s="49">
        <v>11791</v>
      </c>
      <c r="BE34" s="18"/>
    </row>
    <row r="35" spans="1:57" s="46" customFormat="1" x14ac:dyDescent="0.3">
      <c r="A35" s="21">
        <v>10</v>
      </c>
      <c r="B35" s="21" t="s">
        <v>85</v>
      </c>
      <c r="C35" s="21">
        <v>13380</v>
      </c>
      <c r="D35" s="21">
        <v>13380</v>
      </c>
      <c r="E35" s="21">
        <v>13380</v>
      </c>
      <c r="F35" s="21">
        <v>13380</v>
      </c>
      <c r="G35" s="21">
        <v>13380</v>
      </c>
      <c r="H35" s="21">
        <v>13380</v>
      </c>
      <c r="I35" s="21">
        <v>13380</v>
      </c>
      <c r="J35" s="21">
        <v>13380</v>
      </c>
      <c r="K35" s="21">
        <v>13380</v>
      </c>
      <c r="L35" s="21">
        <v>13380</v>
      </c>
      <c r="M35" s="21">
        <v>13380</v>
      </c>
      <c r="N35" s="21">
        <v>13380</v>
      </c>
      <c r="O35" s="21">
        <v>13380</v>
      </c>
      <c r="P35" s="21">
        <v>13380</v>
      </c>
      <c r="Q35" s="21">
        <v>13380</v>
      </c>
      <c r="R35" s="21">
        <v>13380</v>
      </c>
      <c r="S35" s="21">
        <v>13380</v>
      </c>
      <c r="T35" s="21">
        <v>13380</v>
      </c>
      <c r="U35" s="21">
        <v>13380</v>
      </c>
      <c r="V35" s="21">
        <v>13380</v>
      </c>
      <c r="W35" s="21">
        <v>13380</v>
      </c>
      <c r="X35" s="21">
        <v>13380</v>
      </c>
      <c r="Y35" s="21">
        <v>13380</v>
      </c>
      <c r="Z35" s="21">
        <v>13380</v>
      </c>
      <c r="AA35" s="21">
        <v>13380</v>
      </c>
      <c r="AB35" s="21">
        <v>13380</v>
      </c>
      <c r="AC35" s="21">
        <v>13380</v>
      </c>
      <c r="AD35" s="21">
        <v>13380</v>
      </c>
      <c r="AE35" s="21">
        <v>13380</v>
      </c>
      <c r="AF35" s="21">
        <v>13380</v>
      </c>
      <c r="AG35" s="21">
        <v>13380</v>
      </c>
      <c r="AH35" s="21">
        <v>13380</v>
      </c>
      <c r="AI35" s="21">
        <v>13380</v>
      </c>
      <c r="AJ35" s="21">
        <v>13380</v>
      </c>
      <c r="AK35" s="21">
        <v>13380</v>
      </c>
      <c r="AL35" s="21">
        <v>13380</v>
      </c>
      <c r="AM35" s="21">
        <v>13380</v>
      </c>
      <c r="AN35" s="21">
        <v>13380</v>
      </c>
      <c r="AO35" s="21">
        <v>13380</v>
      </c>
      <c r="AP35" s="21">
        <v>13380</v>
      </c>
      <c r="AQ35" s="21">
        <v>13380</v>
      </c>
      <c r="AR35" s="21">
        <v>13380</v>
      </c>
      <c r="AS35" s="21">
        <v>13380</v>
      </c>
      <c r="AT35" s="21">
        <v>13380</v>
      </c>
      <c r="AU35" s="21">
        <v>13380</v>
      </c>
      <c r="AV35" s="21">
        <v>13380</v>
      </c>
      <c r="AW35" s="21">
        <v>13380</v>
      </c>
      <c r="AX35" s="21">
        <v>13380</v>
      </c>
      <c r="AY35" s="21">
        <v>13380</v>
      </c>
      <c r="AZ35" s="21">
        <v>13380</v>
      </c>
      <c r="BA35" s="21">
        <v>13380</v>
      </c>
      <c r="BB35" s="21">
        <v>13380</v>
      </c>
      <c r="BC35" s="21">
        <v>13380</v>
      </c>
      <c r="BD35" s="21">
        <v>13381</v>
      </c>
      <c r="BE35" s="21"/>
    </row>
    <row r="36" spans="1:57" s="46" customFormat="1" x14ac:dyDescent="0.3">
      <c r="A36" s="21">
        <v>11</v>
      </c>
      <c r="B36" s="21" t="s">
        <v>86</v>
      </c>
      <c r="C36" s="21">
        <f>C34*C35</f>
        <v>81152376</v>
      </c>
      <c r="D36" s="21">
        <f>D34*D35</f>
        <v>88575600</v>
      </c>
      <c r="E36" s="21">
        <f>E34*E35</f>
        <v>103940924.40000001</v>
      </c>
      <c r="F36" s="21">
        <f t="shared" ref="F36:BB36" si="5">F34*F35</f>
        <v>112212975.60000001</v>
      </c>
      <c r="G36" s="21">
        <f t="shared" si="5"/>
        <v>121863969.59999999</v>
      </c>
      <c r="H36" s="21">
        <f t="shared" si="5"/>
        <v>123242644.80000001</v>
      </c>
      <c r="I36" s="21">
        <f t="shared" si="5"/>
        <v>126795302.40000002</v>
      </c>
      <c r="J36" s="21">
        <f t="shared" si="5"/>
        <v>141456009.24000001</v>
      </c>
      <c r="K36" s="21">
        <f t="shared" si="5"/>
        <v>146140909.19999999</v>
      </c>
      <c r="L36" s="21">
        <f t="shared" si="5"/>
        <v>154717890.60000002</v>
      </c>
      <c r="M36" s="21">
        <f t="shared" si="5"/>
        <v>151793156.40000001</v>
      </c>
      <c r="N36" s="21">
        <f t="shared" si="5"/>
        <v>164558211.59999999</v>
      </c>
      <c r="O36" s="21">
        <f t="shared" si="5"/>
        <v>187855200</v>
      </c>
      <c r="P36" s="21">
        <f t="shared" si="5"/>
        <v>220729860</v>
      </c>
      <c r="Q36" s="21">
        <f t="shared" si="5"/>
        <v>226282560</v>
      </c>
      <c r="R36" s="21">
        <f t="shared" si="5"/>
        <v>222536160</v>
      </c>
      <c r="S36" s="21">
        <f t="shared" si="5"/>
        <v>221880540</v>
      </c>
      <c r="T36" s="21">
        <f t="shared" si="5"/>
        <v>222108000</v>
      </c>
      <c r="U36" s="21">
        <f t="shared" si="5"/>
        <v>222977700</v>
      </c>
      <c r="V36" s="21">
        <f t="shared" si="5"/>
        <v>226122000</v>
      </c>
      <c r="W36" s="21">
        <f t="shared" si="5"/>
        <v>229467000</v>
      </c>
      <c r="X36" s="21">
        <f t="shared" si="5"/>
        <v>223231920</v>
      </c>
      <c r="Y36" s="21">
        <f t="shared" si="5"/>
        <v>188658000</v>
      </c>
      <c r="Z36" s="21">
        <f t="shared" si="5"/>
        <v>205008360</v>
      </c>
      <c r="AA36" s="21">
        <f t="shared" si="5"/>
        <v>194491680</v>
      </c>
      <c r="AB36" s="21">
        <f t="shared" si="5"/>
        <v>192912840</v>
      </c>
      <c r="AC36" s="21">
        <f t="shared" si="5"/>
        <v>184577100</v>
      </c>
      <c r="AD36" s="21">
        <f t="shared" si="5"/>
        <v>189340380</v>
      </c>
      <c r="AE36" s="21">
        <f t="shared" si="5"/>
        <v>195294480</v>
      </c>
      <c r="AF36" s="21">
        <f t="shared" si="5"/>
        <v>185767920</v>
      </c>
      <c r="AG36" s="21">
        <f t="shared" si="5"/>
        <v>191722020</v>
      </c>
      <c r="AH36" s="21">
        <f t="shared" si="5"/>
        <v>197676120</v>
      </c>
      <c r="AI36" s="21">
        <f t="shared" si="5"/>
        <v>209584320</v>
      </c>
      <c r="AJ36" s="21">
        <f t="shared" si="5"/>
        <v>202439400</v>
      </c>
      <c r="AK36" s="21">
        <f t="shared" si="5"/>
        <v>207202680</v>
      </c>
      <c r="AL36" s="21">
        <f t="shared" si="5"/>
        <v>178623000</v>
      </c>
      <c r="AM36" s="21">
        <f t="shared" si="5"/>
        <v>194103660</v>
      </c>
      <c r="AN36" s="21">
        <f t="shared" si="5"/>
        <v>179813820</v>
      </c>
      <c r="AO36" s="21">
        <f t="shared" si="5"/>
        <v>195294480</v>
      </c>
      <c r="AP36" s="21">
        <f t="shared" si="5"/>
        <v>196513879.68000004</v>
      </c>
      <c r="AQ36" s="21">
        <f t="shared" si="5"/>
        <v>199857060</v>
      </c>
      <c r="AR36" s="21">
        <f t="shared" si="5"/>
        <v>206011860</v>
      </c>
      <c r="AS36" s="21">
        <f t="shared" si="5"/>
        <v>205423140</v>
      </c>
      <c r="AT36" s="21">
        <f t="shared" si="5"/>
        <v>189447420</v>
      </c>
      <c r="AU36" s="21">
        <f t="shared" si="5"/>
        <v>196712760</v>
      </c>
      <c r="AV36" s="21">
        <f t="shared" si="5"/>
        <v>190196700</v>
      </c>
      <c r="AW36" s="21">
        <f t="shared" si="5"/>
        <v>179278620</v>
      </c>
      <c r="AX36" s="21">
        <f t="shared" si="5"/>
        <v>142550520</v>
      </c>
      <c r="AY36" s="21">
        <f t="shared" si="5"/>
        <v>135191520</v>
      </c>
      <c r="AZ36" s="21">
        <f t="shared" si="5"/>
        <v>135138000</v>
      </c>
      <c r="BA36" s="21">
        <f t="shared" si="5"/>
        <v>134027460</v>
      </c>
      <c r="BB36" s="21">
        <f t="shared" si="5"/>
        <v>137314123.19999999</v>
      </c>
      <c r="BC36" s="21">
        <f>BC34*BC35</f>
        <v>132286454.39999999</v>
      </c>
      <c r="BD36" s="21">
        <f>BD34*BD35</f>
        <v>157775371</v>
      </c>
      <c r="BE36" s="21"/>
    </row>
    <row r="37" spans="1:57" s="46" customFormat="1" x14ac:dyDescent="0.3">
      <c r="A37" s="21">
        <v>12</v>
      </c>
      <c r="B37" s="21" t="s">
        <v>87</v>
      </c>
      <c r="C37" s="21">
        <v>8999</v>
      </c>
      <c r="D37" s="21">
        <v>8999</v>
      </c>
      <c r="E37" s="21">
        <v>8999</v>
      </c>
      <c r="F37" s="21">
        <v>8999</v>
      </c>
      <c r="G37" s="21">
        <v>8999</v>
      </c>
      <c r="H37" s="21">
        <v>8999</v>
      </c>
      <c r="I37" s="21">
        <v>8999</v>
      </c>
      <c r="J37" s="21">
        <v>8999</v>
      </c>
      <c r="K37" s="21">
        <v>8999</v>
      </c>
      <c r="L37" s="21">
        <v>8999</v>
      </c>
      <c r="M37" s="21">
        <v>8999</v>
      </c>
      <c r="N37" s="21">
        <v>8999</v>
      </c>
      <c r="O37" s="21">
        <v>8999</v>
      </c>
      <c r="P37" s="21">
        <v>8999</v>
      </c>
      <c r="Q37" s="21">
        <v>8999</v>
      </c>
      <c r="R37" s="21">
        <v>8999</v>
      </c>
      <c r="S37" s="21">
        <v>8999</v>
      </c>
      <c r="T37" s="21">
        <v>8999</v>
      </c>
      <c r="U37" s="21">
        <v>8999</v>
      </c>
      <c r="V37" s="21">
        <v>8999</v>
      </c>
      <c r="W37" s="21">
        <v>8999</v>
      </c>
      <c r="X37" s="21">
        <v>8999</v>
      </c>
      <c r="Y37" s="21">
        <v>8999</v>
      </c>
      <c r="Z37" s="21">
        <v>8999</v>
      </c>
      <c r="AA37" s="21">
        <v>8999</v>
      </c>
      <c r="AB37" s="21">
        <v>8999</v>
      </c>
      <c r="AC37" s="21">
        <v>8999</v>
      </c>
      <c r="AD37" s="21">
        <v>8999</v>
      </c>
      <c r="AE37" s="21">
        <v>8999</v>
      </c>
      <c r="AF37" s="21">
        <v>8999</v>
      </c>
      <c r="AG37" s="21">
        <v>8999</v>
      </c>
      <c r="AH37" s="21">
        <v>8999</v>
      </c>
      <c r="AI37" s="21">
        <v>8999</v>
      </c>
      <c r="AJ37" s="21">
        <v>8999</v>
      </c>
      <c r="AK37" s="21">
        <v>8999</v>
      </c>
      <c r="AL37" s="21">
        <v>8999</v>
      </c>
      <c r="AM37" s="21">
        <v>8999</v>
      </c>
      <c r="AN37" s="21">
        <v>8999</v>
      </c>
      <c r="AO37" s="21">
        <v>8999</v>
      </c>
      <c r="AP37" s="21">
        <v>8999</v>
      </c>
      <c r="AQ37" s="21">
        <v>8999</v>
      </c>
      <c r="AR37" s="21">
        <v>8999</v>
      </c>
      <c r="AS37" s="21">
        <v>8999</v>
      </c>
      <c r="AT37" s="21">
        <v>8999</v>
      </c>
      <c r="AU37" s="21">
        <v>8999</v>
      </c>
      <c r="AV37" s="21">
        <v>8999</v>
      </c>
      <c r="AW37" s="21">
        <v>8999</v>
      </c>
      <c r="AX37" s="21">
        <v>8999</v>
      </c>
      <c r="AY37" s="21">
        <v>8999</v>
      </c>
      <c r="AZ37" s="21">
        <v>8999</v>
      </c>
      <c r="BA37" s="21">
        <v>8999</v>
      </c>
      <c r="BB37" s="21">
        <v>8999</v>
      </c>
      <c r="BC37" s="21">
        <v>8999</v>
      </c>
      <c r="BD37" s="21">
        <v>9000</v>
      </c>
      <c r="BE37" s="21"/>
    </row>
    <row r="38" spans="1:57" s="46" customFormat="1" x14ac:dyDescent="0.3">
      <c r="A38" s="21">
        <v>13</v>
      </c>
      <c r="B38" s="21" t="s">
        <v>88</v>
      </c>
      <c r="C38" s="21">
        <f>C37*C29</f>
        <v>46254860</v>
      </c>
      <c r="D38" s="21">
        <f>D37*D29</f>
        <v>47658704</v>
      </c>
      <c r="E38" s="21">
        <f t="shared" ref="E38:BB38" si="6">E37*E29</f>
        <v>54191978</v>
      </c>
      <c r="F38" s="21">
        <f t="shared" si="6"/>
        <v>57611598</v>
      </c>
      <c r="G38" s="21">
        <f t="shared" si="6"/>
        <v>60266303</v>
      </c>
      <c r="H38" s="21">
        <f t="shared" si="6"/>
        <v>62795022</v>
      </c>
      <c r="I38" s="21">
        <f t="shared" si="6"/>
        <v>63640928</v>
      </c>
      <c r="J38" s="21">
        <f t="shared" si="6"/>
        <v>70999410.299999997</v>
      </c>
      <c r="K38" s="21">
        <f t="shared" si="6"/>
        <v>73350849</v>
      </c>
      <c r="L38" s="21">
        <f t="shared" si="6"/>
        <v>79434173</v>
      </c>
      <c r="M38" s="21">
        <f t="shared" si="6"/>
        <v>83681701</v>
      </c>
      <c r="N38" s="21">
        <f t="shared" si="6"/>
        <v>90718919</v>
      </c>
      <c r="O38" s="21">
        <f t="shared" si="6"/>
        <v>105288300</v>
      </c>
      <c r="P38" s="21">
        <f t="shared" si="6"/>
        <v>126885900</v>
      </c>
      <c r="Q38" s="21">
        <f t="shared" si="6"/>
        <v>135884900</v>
      </c>
      <c r="R38" s="21">
        <f t="shared" si="6"/>
        <v>138584600</v>
      </c>
      <c r="S38" s="21">
        <f t="shared" si="6"/>
        <v>144883900</v>
      </c>
      <c r="T38" s="21">
        <f t="shared" si="6"/>
        <v>149383400</v>
      </c>
      <c r="U38" s="21">
        <f t="shared" si="6"/>
        <v>148483500</v>
      </c>
      <c r="V38" s="21">
        <f t="shared" si="6"/>
        <v>152083100</v>
      </c>
      <c r="W38" s="21">
        <f t="shared" si="6"/>
        <v>157482500</v>
      </c>
      <c r="X38" s="21">
        <f t="shared" si="6"/>
        <v>154782800</v>
      </c>
      <c r="Y38" s="21">
        <f t="shared" si="6"/>
        <v>134985000</v>
      </c>
      <c r="Z38" s="21">
        <f t="shared" si="6"/>
        <v>146683700</v>
      </c>
      <c r="AA38" s="21">
        <f t="shared" si="6"/>
        <v>142184200</v>
      </c>
      <c r="AB38" s="21">
        <f t="shared" si="6"/>
        <v>145783800</v>
      </c>
      <c r="AC38" s="21">
        <f t="shared" si="6"/>
        <v>139484500</v>
      </c>
      <c r="AD38" s="21">
        <f t="shared" si="6"/>
        <v>143084100</v>
      </c>
      <c r="AE38" s="21">
        <f t="shared" si="6"/>
        <v>147583600</v>
      </c>
      <c r="AF38" s="21">
        <f t="shared" si="6"/>
        <v>140384400</v>
      </c>
      <c r="AG38" s="21">
        <f t="shared" si="6"/>
        <v>144883900</v>
      </c>
      <c r="AH38" s="21">
        <f t="shared" si="6"/>
        <v>149383400</v>
      </c>
      <c r="AI38" s="21">
        <f t="shared" si="6"/>
        <v>158382400</v>
      </c>
      <c r="AJ38" s="21">
        <f t="shared" si="6"/>
        <v>152983000</v>
      </c>
      <c r="AK38" s="21">
        <f t="shared" si="6"/>
        <v>156582600</v>
      </c>
      <c r="AL38" s="21">
        <f t="shared" si="6"/>
        <v>134985000</v>
      </c>
      <c r="AM38" s="21">
        <f t="shared" si="6"/>
        <v>146683700</v>
      </c>
      <c r="AN38" s="21">
        <f t="shared" si="6"/>
        <v>135884900</v>
      </c>
      <c r="AO38" s="21">
        <f t="shared" si="6"/>
        <v>147583600</v>
      </c>
      <c r="AP38" s="21">
        <f t="shared" si="6"/>
        <v>148505097.60000002</v>
      </c>
      <c r="AQ38" s="21">
        <f t="shared" si="6"/>
        <v>157608486</v>
      </c>
      <c r="AR38" s="21">
        <f t="shared" si="6"/>
        <v>161577045</v>
      </c>
      <c r="AS38" s="21">
        <f t="shared" si="6"/>
        <v>166022551</v>
      </c>
      <c r="AT38" s="21">
        <f t="shared" si="6"/>
        <v>158760358</v>
      </c>
      <c r="AU38" s="21">
        <f t="shared" si="6"/>
        <v>160200198</v>
      </c>
      <c r="AV38" s="21">
        <f t="shared" si="6"/>
        <v>155079767</v>
      </c>
      <c r="AW38" s="21">
        <f t="shared" si="6"/>
        <v>153567935</v>
      </c>
      <c r="AX38" s="21">
        <f t="shared" si="6"/>
        <v>149941338</v>
      </c>
      <c r="AY38" s="21">
        <f t="shared" si="6"/>
        <v>145486833</v>
      </c>
      <c r="AZ38" s="21">
        <f t="shared" si="6"/>
        <v>141986222</v>
      </c>
      <c r="BA38" s="21">
        <f t="shared" si="6"/>
        <v>146899676</v>
      </c>
      <c r="BB38" s="21">
        <f t="shared" si="6"/>
        <v>151399176</v>
      </c>
      <c r="BC38" s="21">
        <f>BC37*BC29</f>
        <v>145855792</v>
      </c>
      <c r="BD38" s="21">
        <f>BD37*BD29</f>
        <v>138744000</v>
      </c>
      <c r="BE38" s="21"/>
    </row>
    <row r="39" spans="1:57" s="45" customFormat="1" x14ac:dyDescent="0.3">
      <c r="A39" s="18">
        <v>14</v>
      </c>
      <c r="B39" s="18" t="s">
        <v>89</v>
      </c>
      <c r="C39" s="18">
        <f>C38+C36</f>
        <v>127407236</v>
      </c>
      <c r="D39" s="18">
        <f>D38+D36</f>
        <v>136234304</v>
      </c>
      <c r="E39" s="18">
        <f t="shared" ref="E39:BB39" si="7">E38+E36</f>
        <v>158132902.40000001</v>
      </c>
      <c r="F39" s="18">
        <f t="shared" si="7"/>
        <v>169824573.60000002</v>
      </c>
      <c r="G39" s="18">
        <f t="shared" si="7"/>
        <v>182130272.59999999</v>
      </c>
      <c r="H39" s="18">
        <f t="shared" si="7"/>
        <v>186037666.80000001</v>
      </c>
      <c r="I39" s="18">
        <f t="shared" si="7"/>
        <v>190436230.40000004</v>
      </c>
      <c r="J39" s="18">
        <f t="shared" si="7"/>
        <v>212455419.54000002</v>
      </c>
      <c r="K39" s="18">
        <f t="shared" si="7"/>
        <v>219491758.19999999</v>
      </c>
      <c r="L39" s="18">
        <f t="shared" si="7"/>
        <v>234152063.60000002</v>
      </c>
      <c r="M39" s="18">
        <f t="shared" si="7"/>
        <v>235474857.40000001</v>
      </c>
      <c r="N39" s="18">
        <f t="shared" si="7"/>
        <v>255277130.59999999</v>
      </c>
      <c r="O39" s="18">
        <f t="shared" si="7"/>
        <v>293143500</v>
      </c>
      <c r="P39" s="18">
        <f t="shared" si="7"/>
        <v>347615760</v>
      </c>
      <c r="Q39" s="18">
        <f t="shared" si="7"/>
        <v>362167460</v>
      </c>
      <c r="R39" s="18">
        <f t="shared" si="7"/>
        <v>361120760</v>
      </c>
      <c r="S39" s="18">
        <f t="shared" si="7"/>
        <v>366764440</v>
      </c>
      <c r="T39" s="18">
        <f t="shared" si="7"/>
        <v>371491400</v>
      </c>
      <c r="U39" s="18">
        <f t="shared" si="7"/>
        <v>371461200</v>
      </c>
      <c r="V39" s="18">
        <f t="shared" si="7"/>
        <v>378205100</v>
      </c>
      <c r="W39" s="18">
        <f t="shared" si="7"/>
        <v>386949500</v>
      </c>
      <c r="X39" s="18">
        <f t="shared" si="7"/>
        <v>378014720</v>
      </c>
      <c r="Y39" s="18">
        <f t="shared" si="7"/>
        <v>323643000</v>
      </c>
      <c r="Z39" s="18">
        <f t="shared" si="7"/>
        <v>351692060</v>
      </c>
      <c r="AA39" s="18">
        <f t="shared" si="7"/>
        <v>336675880</v>
      </c>
      <c r="AB39" s="18">
        <f t="shared" si="7"/>
        <v>338696640</v>
      </c>
      <c r="AC39" s="18">
        <f t="shared" si="7"/>
        <v>324061600</v>
      </c>
      <c r="AD39" s="18">
        <f t="shared" si="7"/>
        <v>332424480</v>
      </c>
      <c r="AE39" s="18">
        <f t="shared" si="7"/>
        <v>342878080</v>
      </c>
      <c r="AF39" s="18">
        <f t="shared" si="7"/>
        <v>326152320</v>
      </c>
      <c r="AG39" s="18">
        <f t="shared" si="7"/>
        <v>336605920</v>
      </c>
      <c r="AH39" s="18">
        <f t="shared" si="7"/>
        <v>347059520</v>
      </c>
      <c r="AI39" s="18">
        <f t="shared" si="7"/>
        <v>367966720</v>
      </c>
      <c r="AJ39" s="18">
        <f t="shared" si="7"/>
        <v>355422400</v>
      </c>
      <c r="AK39" s="18">
        <f t="shared" si="7"/>
        <v>363785280</v>
      </c>
      <c r="AL39" s="18">
        <f t="shared" si="7"/>
        <v>313608000</v>
      </c>
      <c r="AM39" s="18">
        <f t="shared" si="7"/>
        <v>340787360</v>
      </c>
      <c r="AN39" s="18">
        <f t="shared" si="7"/>
        <v>315698720</v>
      </c>
      <c r="AO39" s="18">
        <f t="shared" si="7"/>
        <v>342878080</v>
      </c>
      <c r="AP39" s="18">
        <f t="shared" si="7"/>
        <v>345018977.28000009</v>
      </c>
      <c r="AQ39" s="18">
        <f t="shared" si="7"/>
        <v>357465546</v>
      </c>
      <c r="AR39" s="18">
        <f t="shared" si="7"/>
        <v>367588905</v>
      </c>
      <c r="AS39" s="18">
        <f t="shared" si="7"/>
        <v>371445691</v>
      </c>
      <c r="AT39" s="18">
        <f t="shared" si="7"/>
        <v>348207778</v>
      </c>
      <c r="AU39" s="18">
        <f t="shared" si="7"/>
        <v>356912958</v>
      </c>
      <c r="AV39" s="18">
        <f t="shared" si="7"/>
        <v>345276467</v>
      </c>
      <c r="AW39" s="18">
        <f t="shared" si="7"/>
        <v>332846555</v>
      </c>
      <c r="AX39" s="18">
        <f t="shared" si="7"/>
        <v>292491858</v>
      </c>
      <c r="AY39" s="18">
        <f t="shared" si="7"/>
        <v>280678353</v>
      </c>
      <c r="AZ39" s="18">
        <f t="shared" si="7"/>
        <v>277124222</v>
      </c>
      <c r="BA39" s="18">
        <f t="shared" si="7"/>
        <v>280927136</v>
      </c>
      <c r="BB39" s="18">
        <f t="shared" si="7"/>
        <v>288713299.19999999</v>
      </c>
      <c r="BC39" s="18">
        <f>BC38+BC36</f>
        <v>278142246.39999998</v>
      </c>
      <c r="BD39" s="18">
        <f>BD38+BD36</f>
        <v>296519371</v>
      </c>
      <c r="BE39" s="18"/>
    </row>
    <row r="40" spans="1:57" s="46" customFormat="1" x14ac:dyDescent="0.3">
      <c r="A40" s="21">
        <v>15</v>
      </c>
      <c r="B40" s="21" t="s">
        <v>90</v>
      </c>
      <c r="C40" s="21"/>
      <c r="D40" s="21"/>
      <c r="E40" s="21"/>
      <c r="F40" s="21"/>
      <c r="G40" s="21"/>
      <c r="H40" s="21">
        <v>5.48</v>
      </c>
      <c r="I40" s="21"/>
      <c r="J40" s="21"/>
      <c r="K40" s="21"/>
      <c r="L40" s="21"/>
      <c r="M40" s="21">
        <v>5.93</v>
      </c>
      <c r="N40" s="21"/>
      <c r="O40" s="21"/>
      <c r="P40" s="21"/>
      <c r="Q40" s="21"/>
      <c r="R40" s="21">
        <v>6.12</v>
      </c>
      <c r="S40" s="21"/>
      <c r="T40" s="21"/>
      <c r="U40" s="21"/>
      <c r="V40" s="21"/>
      <c r="W40" s="21">
        <v>6.6</v>
      </c>
      <c r="X40" s="21"/>
      <c r="Y40" s="21"/>
      <c r="Z40" s="21"/>
      <c r="AA40" s="21"/>
      <c r="AB40" s="21">
        <v>7.17</v>
      </c>
      <c r="AC40" s="21"/>
      <c r="AD40" s="21"/>
      <c r="AE40" s="21"/>
      <c r="AF40" s="21"/>
      <c r="AG40" s="21">
        <v>6.88</v>
      </c>
      <c r="AH40" s="21"/>
      <c r="AI40" s="21"/>
      <c r="AJ40" s="21"/>
      <c r="AK40" s="21"/>
      <c r="AL40" s="21">
        <v>7.28</v>
      </c>
      <c r="AM40" s="21">
        <v>7.18</v>
      </c>
      <c r="AN40" s="21">
        <v>7.2</v>
      </c>
      <c r="AO40" s="21"/>
      <c r="AP40" s="21"/>
      <c r="AQ40" s="21">
        <v>7.58</v>
      </c>
      <c r="AR40" s="21"/>
      <c r="AS40" s="21"/>
      <c r="AT40" s="21"/>
      <c r="AU40" s="21"/>
      <c r="AV40" s="21"/>
      <c r="AW40" s="21"/>
      <c r="AX40" s="21"/>
      <c r="AY40" s="21"/>
      <c r="AZ40" s="21"/>
      <c r="BA40" s="21"/>
      <c r="BB40" s="21"/>
      <c r="BC40" s="21"/>
      <c r="BD40" s="21"/>
      <c r="BE40" s="21"/>
    </row>
    <row r="41" spans="1:57" s="46" customFormat="1" x14ac:dyDescent="0.3">
      <c r="A41" s="21">
        <v>16</v>
      </c>
      <c r="B41" s="21" t="s">
        <v>91</v>
      </c>
      <c r="C41" s="21">
        <v>5.03</v>
      </c>
      <c r="D41" s="21">
        <v>5.12</v>
      </c>
      <c r="E41" s="21">
        <v>5.21</v>
      </c>
      <c r="F41" s="21">
        <v>5.3</v>
      </c>
      <c r="G41" s="21">
        <v>5.39</v>
      </c>
      <c r="H41" s="21"/>
      <c r="I41" s="21">
        <v>5.57</v>
      </c>
      <c r="J41" s="21">
        <v>5.66</v>
      </c>
      <c r="K41" s="21">
        <v>5.75</v>
      </c>
      <c r="L41" s="21">
        <v>5.84</v>
      </c>
      <c r="M41" s="21"/>
      <c r="N41" s="21">
        <v>5.968</v>
      </c>
      <c r="O41" s="21">
        <v>6.0060000000000002</v>
      </c>
      <c r="P41" s="21">
        <v>6.0439999999999996</v>
      </c>
      <c r="Q41" s="21">
        <v>6.0819999999999999</v>
      </c>
      <c r="R41" s="21"/>
      <c r="S41" s="21">
        <v>6.2160000000000002</v>
      </c>
      <c r="T41" s="21">
        <v>6.3120000000000003</v>
      </c>
      <c r="U41" s="21">
        <v>6.4080000000000004</v>
      </c>
      <c r="V41" s="21">
        <v>6.5039999999999996</v>
      </c>
      <c r="W41" s="21"/>
      <c r="X41" s="21">
        <v>6.7140000000000004</v>
      </c>
      <c r="Y41" s="21">
        <v>6.8280000000000003</v>
      </c>
      <c r="Z41" s="21">
        <v>6.9420000000000002</v>
      </c>
      <c r="AA41" s="21">
        <v>7.056</v>
      </c>
      <c r="AB41" s="21"/>
      <c r="AC41" s="21">
        <v>7.1120000000000001</v>
      </c>
      <c r="AD41" s="21">
        <v>7.0540000000000003</v>
      </c>
      <c r="AE41" s="21">
        <v>6.9960000000000004</v>
      </c>
      <c r="AF41" s="21">
        <v>6.9379999999999997</v>
      </c>
      <c r="AG41" s="21"/>
      <c r="AH41" s="21">
        <v>6.96</v>
      </c>
      <c r="AI41" s="21">
        <v>7.04</v>
      </c>
      <c r="AJ41" s="21">
        <v>7.12</v>
      </c>
      <c r="AK41" s="21">
        <v>7.2</v>
      </c>
      <c r="AL41" s="21"/>
      <c r="AM41" s="21"/>
      <c r="AN41" s="21"/>
      <c r="AO41" s="21">
        <v>7.33</v>
      </c>
      <c r="AP41" s="21">
        <v>7.45</v>
      </c>
      <c r="AQ41" s="21"/>
      <c r="AR41" s="21">
        <v>7.6861199999999998</v>
      </c>
      <c r="AS41" s="21">
        <v>7.7937256799999997</v>
      </c>
      <c r="AT41" s="21">
        <v>7.9028378395200001</v>
      </c>
      <c r="AU41" s="21">
        <v>8.0134775692732809</v>
      </c>
      <c r="AV41" s="21">
        <v>8.1256662552431074</v>
      </c>
      <c r="AW41" s="21">
        <v>8.2394255828165104</v>
      </c>
      <c r="AX41" s="21">
        <v>8.3547775409759417</v>
      </c>
      <c r="AY41" s="21">
        <v>8.4717444265496056</v>
      </c>
      <c r="AZ41" s="21">
        <f t="shared" ref="AZ41:BD42" si="8">(AY41-AX41)+AY41</f>
        <v>8.5887113121232694</v>
      </c>
      <c r="BA41" s="21">
        <f t="shared" si="8"/>
        <v>8.7056781976969333</v>
      </c>
      <c r="BB41" s="21">
        <f t="shared" si="8"/>
        <v>8.8226450832705972</v>
      </c>
      <c r="BC41" s="21">
        <f t="shared" si="8"/>
        <v>8.939611968844261</v>
      </c>
      <c r="BD41" s="21">
        <f t="shared" si="8"/>
        <v>9.0565788544179249</v>
      </c>
      <c r="BE41" s="21"/>
    </row>
    <row r="42" spans="1:57" s="46" customFormat="1" x14ac:dyDescent="0.3">
      <c r="A42" s="21">
        <v>17</v>
      </c>
      <c r="B42" s="21" t="s">
        <v>92</v>
      </c>
      <c r="C42" s="21">
        <v>5.03</v>
      </c>
      <c r="D42" s="21">
        <v>5.12</v>
      </c>
      <c r="E42" s="21">
        <v>5.21</v>
      </c>
      <c r="F42" s="21">
        <v>5.3</v>
      </c>
      <c r="G42" s="21">
        <v>5.39</v>
      </c>
      <c r="H42" s="21">
        <v>5.48</v>
      </c>
      <c r="I42" s="21">
        <v>5.57</v>
      </c>
      <c r="J42" s="21">
        <v>5.66</v>
      </c>
      <c r="K42" s="21">
        <v>5.75</v>
      </c>
      <c r="L42" s="21">
        <v>5.84</v>
      </c>
      <c r="M42" s="21">
        <v>5.93</v>
      </c>
      <c r="N42" s="21">
        <v>5.968</v>
      </c>
      <c r="O42" s="21">
        <v>6.0060000000000002</v>
      </c>
      <c r="P42" s="21">
        <v>6.0439999999999996</v>
      </c>
      <c r="Q42" s="21">
        <v>6.0819999999999999</v>
      </c>
      <c r="R42" s="21">
        <v>6.12</v>
      </c>
      <c r="S42" s="21">
        <v>6.2160000000000002</v>
      </c>
      <c r="T42" s="21">
        <v>6.3120000000000003</v>
      </c>
      <c r="U42" s="21">
        <v>6.4080000000000004</v>
      </c>
      <c r="V42" s="21">
        <v>6.5039999999999996</v>
      </c>
      <c r="W42" s="21">
        <v>6.6</v>
      </c>
      <c r="X42" s="21">
        <v>6.7140000000000004</v>
      </c>
      <c r="Y42" s="21">
        <v>6.8280000000000003</v>
      </c>
      <c r="Z42" s="21">
        <v>6.9420000000000002</v>
      </c>
      <c r="AA42" s="21">
        <v>7.056</v>
      </c>
      <c r="AB42" s="21">
        <v>7.17</v>
      </c>
      <c r="AC42" s="21">
        <v>7.1120000000000001</v>
      </c>
      <c r="AD42" s="21">
        <v>7.0540000000000003</v>
      </c>
      <c r="AE42" s="21">
        <v>6.9960000000000004</v>
      </c>
      <c r="AF42" s="21">
        <v>6.9379999999999997</v>
      </c>
      <c r="AG42" s="21">
        <v>6.88</v>
      </c>
      <c r="AH42" s="21">
        <v>6.96</v>
      </c>
      <c r="AI42" s="21">
        <v>7.04</v>
      </c>
      <c r="AJ42" s="21">
        <v>7.12</v>
      </c>
      <c r="AK42" s="21">
        <v>7.2</v>
      </c>
      <c r="AL42" s="21">
        <v>7.28</v>
      </c>
      <c r="AM42" s="21">
        <v>7.18</v>
      </c>
      <c r="AN42" s="21">
        <v>7.2</v>
      </c>
      <c r="AO42" s="21">
        <v>7.33</v>
      </c>
      <c r="AP42" s="21">
        <v>7.45</v>
      </c>
      <c r="AQ42" s="21">
        <v>7.58</v>
      </c>
      <c r="AR42" s="21">
        <v>7.6861199999999998</v>
      </c>
      <c r="AS42" s="21">
        <v>7.7937256799999997</v>
      </c>
      <c r="AT42" s="21">
        <v>7.9028378395200001</v>
      </c>
      <c r="AU42" s="21">
        <v>8.0134775692732809</v>
      </c>
      <c r="AV42" s="21">
        <v>8.1256662552431074</v>
      </c>
      <c r="AW42" s="21">
        <v>8.2394255828165104</v>
      </c>
      <c r="AX42" s="21">
        <v>8.3547775409759417</v>
      </c>
      <c r="AY42" s="21">
        <v>8.4717444265496056</v>
      </c>
      <c r="AZ42" s="21">
        <f t="shared" si="8"/>
        <v>8.5887113121232694</v>
      </c>
      <c r="BA42" s="21">
        <f t="shared" si="8"/>
        <v>8.7056781976969333</v>
      </c>
      <c r="BB42" s="21">
        <f t="shared" si="8"/>
        <v>8.8226450832705972</v>
      </c>
      <c r="BC42" s="21">
        <f t="shared" si="8"/>
        <v>8.939611968844261</v>
      </c>
      <c r="BD42" s="21">
        <f t="shared" si="8"/>
        <v>9.0565788544179249</v>
      </c>
      <c r="BE42" s="21"/>
    </row>
    <row r="43" spans="1:57" s="45" customFormat="1" x14ac:dyDescent="0.3">
      <c r="A43" s="18">
        <v>18</v>
      </c>
      <c r="B43" s="18" t="s">
        <v>93</v>
      </c>
      <c r="C43" s="18">
        <f>C42*365</f>
        <v>1835.95</v>
      </c>
      <c r="D43" s="18">
        <f t="shared" ref="D43:BB43" si="9">D42*365</f>
        <v>1868.8</v>
      </c>
      <c r="E43" s="18">
        <f t="shared" si="9"/>
        <v>1901.65</v>
      </c>
      <c r="F43" s="18">
        <f t="shared" si="9"/>
        <v>1934.5</v>
      </c>
      <c r="G43" s="18">
        <f t="shared" si="9"/>
        <v>1967.35</v>
      </c>
      <c r="H43" s="18">
        <f t="shared" si="9"/>
        <v>2000.2</v>
      </c>
      <c r="I43" s="18">
        <f t="shared" si="9"/>
        <v>2033.0500000000002</v>
      </c>
      <c r="J43" s="18">
        <f t="shared" si="9"/>
        <v>2065.9</v>
      </c>
      <c r="K43" s="18">
        <f t="shared" si="9"/>
        <v>2098.75</v>
      </c>
      <c r="L43" s="18">
        <f t="shared" si="9"/>
        <v>2131.6</v>
      </c>
      <c r="M43" s="18">
        <f t="shared" si="9"/>
        <v>2164.4499999999998</v>
      </c>
      <c r="N43" s="18">
        <f t="shared" si="9"/>
        <v>2178.3200000000002</v>
      </c>
      <c r="O43" s="18">
        <f t="shared" si="9"/>
        <v>2192.19</v>
      </c>
      <c r="P43" s="18">
        <f t="shared" si="9"/>
        <v>2206.06</v>
      </c>
      <c r="Q43" s="18">
        <f t="shared" si="9"/>
        <v>2219.9299999999998</v>
      </c>
      <c r="R43" s="18">
        <f t="shared" si="9"/>
        <v>2233.8000000000002</v>
      </c>
      <c r="S43" s="18">
        <f t="shared" si="9"/>
        <v>2268.84</v>
      </c>
      <c r="T43" s="18">
        <f t="shared" si="9"/>
        <v>2303.88</v>
      </c>
      <c r="U43" s="18">
        <f t="shared" si="9"/>
        <v>2338.92</v>
      </c>
      <c r="V43" s="18">
        <f t="shared" si="9"/>
        <v>2373.96</v>
      </c>
      <c r="W43" s="18">
        <f t="shared" si="9"/>
        <v>2409</v>
      </c>
      <c r="X43" s="18">
        <f t="shared" si="9"/>
        <v>2450.61</v>
      </c>
      <c r="Y43" s="18">
        <f t="shared" si="9"/>
        <v>2492.2200000000003</v>
      </c>
      <c r="Z43" s="18">
        <f t="shared" si="9"/>
        <v>2533.83</v>
      </c>
      <c r="AA43" s="18">
        <f t="shared" si="9"/>
        <v>2575.44</v>
      </c>
      <c r="AB43" s="18">
        <f t="shared" si="9"/>
        <v>2617.0500000000002</v>
      </c>
      <c r="AC43" s="18">
        <f t="shared" si="9"/>
        <v>2595.88</v>
      </c>
      <c r="AD43" s="18">
        <f t="shared" si="9"/>
        <v>2574.71</v>
      </c>
      <c r="AE43" s="18">
        <f t="shared" si="9"/>
        <v>2553.54</v>
      </c>
      <c r="AF43" s="18">
        <f t="shared" si="9"/>
        <v>2532.37</v>
      </c>
      <c r="AG43" s="18">
        <f t="shared" si="9"/>
        <v>2511.1999999999998</v>
      </c>
      <c r="AH43" s="18">
        <f t="shared" si="9"/>
        <v>2540.4</v>
      </c>
      <c r="AI43" s="18">
        <f t="shared" si="9"/>
        <v>2569.6</v>
      </c>
      <c r="AJ43" s="18">
        <f t="shared" si="9"/>
        <v>2598.8000000000002</v>
      </c>
      <c r="AK43" s="18">
        <f t="shared" si="9"/>
        <v>2628</v>
      </c>
      <c r="AL43" s="18">
        <f t="shared" si="9"/>
        <v>2657.2000000000003</v>
      </c>
      <c r="AM43" s="18">
        <f t="shared" si="9"/>
        <v>2620.6999999999998</v>
      </c>
      <c r="AN43" s="18">
        <f t="shared" si="9"/>
        <v>2628</v>
      </c>
      <c r="AO43" s="18">
        <f t="shared" si="9"/>
        <v>2675.45</v>
      </c>
      <c r="AP43" s="18">
        <f t="shared" si="9"/>
        <v>2719.25</v>
      </c>
      <c r="AQ43" s="18">
        <f t="shared" si="9"/>
        <v>2766.7</v>
      </c>
      <c r="AR43" s="18">
        <f t="shared" si="9"/>
        <v>2805.4337999999998</v>
      </c>
      <c r="AS43" s="18">
        <f t="shared" si="9"/>
        <v>2844.7098731999999</v>
      </c>
      <c r="AT43" s="18">
        <f t="shared" si="9"/>
        <v>2884.5358114248002</v>
      </c>
      <c r="AU43" s="18">
        <f t="shared" si="9"/>
        <v>2924.9193127847475</v>
      </c>
      <c r="AV43" s="18">
        <f t="shared" si="9"/>
        <v>2965.8681831637341</v>
      </c>
      <c r="AW43" s="18">
        <f t="shared" si="9"/>
        <v>3007.3903377280262</v>
      </c>
      <c r="AX43" s="18">
        <f t="shared" si="9"/>
        <v>3049.4938024562189</v>
      </c>
      <c r="AY43" s="18">
        <f t="shared" si="9"/>
        <v>3092.186715690606</v>
      </c>
      <c r="AZ43" s="18">
        <f t="shared" si="9"/>
        <v>3134.8796289249935</v>
      </c>
      <c r="BA43" s="18">
        <f t="shared" si="9"/>
        <v>3177.5725421593806</v>
      </c>
      <c r="BB43" s="18">
        <f t="shared" si="9"/>
        <v>3220.2654553937678</v>
      </c>
      <c r="BC43" s="18">
        <f>BC42*365</f>
        <v>3262.9583686281553</v>
      </c>
      <c r="BD43" s="18">
        <f>BD42*365</f>
        <v>3305.6512818625424</v>
      </c>
      <c r="BE43" s="18"/>
    </row>
    <row r="44" spans="1:57" s="46" customFormat="1" x14ac:dyDescent="0.3">
      <c r="A44" s="21">
        <v>19</v>
      </c>
      <c r="B44" s="21" t="s">
        <v>94</v>
      </c>
      <c r="C44" s="21">
        <v>3113</v>
      </c>
      <c r="D44" s="21">
        <v>3176</v>
      </c>
      <c r="E44" s="21">
        <v>3263</v>
      </c>
      <c r="F44" s="21">
        <v>3386</v>
      </c>
      <c r="G44" s="21">
        <v>3492</v>
      </c>
      <c r="H44" s="21">
        <v>3600</v>
      </c>
      <c r="I44" s="21">
        <v>3695</v>
      </c>
      <c r="J44" s="21">
        <v>3757</v>
      </c>
      <c r="K44" s="21">
        <v>3815</v>
      </c>
      <c r="L44" s="21">
        <v>3868</v>
      </c>
      <c r="M44" s="21">
        <v>3924</v>
      </c>
      <c r="N44" s="21">
        <v>4018</v>
      </c>
      <c r="O44" s="21">
        <v>4073</v>
      </c>
      <c r="P44" s="21">
        <v>4098</v>
      </c>
      <c r="Q44" s="21">
        <v>4119</v>
      </c>
      <c r="R44" s="21">
        <v>4139</v>
      </c>
      <c r="S44" s="21">
        <v>4151</v>
      </c>
      <c r="T44" s="21">
        <v>4170</v>
      </c>
      <c r="U44" s="21">
        <v>4184</v>
      </c>
      <c r="V44" s="21">
        <v>4191</v>
      </c>
      <c r="W44" s="21">
        <v>4217</v>
      </c>
      <c r="X44" s="21">
        <v>4262</v>
      </c>
      <c r="Y44" s="21">
        <v>4283</v>
      </c>
      <c r="Z44" s="21">
        <v>4313</v>
      </c>
      <c r="AA44" s="21">
        <v>4365</v>
      </c>
      <c r="AB44" s="21">
        <v>4413</v>
      </c>
      <c r="AC44" s="21">
        <v>4487</v>
      </c>
      <c r="AD44" s="21">
        <v>4566</v>
      </c>
      <c r="AE44" s="21">
        <v>4658</v>
      </c>
      <c r="AF44" s="21">
        <v>4727</v>
      </c>
      <c r="AG44" s="21">
        <v>4781</v>
      </c>
      <c r="AH44" s="21">
        <v>4781</v>
      </c>
      <c r="AI44" s="21">
        <v>4800</v>
      </c>
      <c r="AJ44" s="21">
        <v>4868</v>
      </c>
      <c r="AK44" s="21">
        <v>4923</v>
      </c>
      <c r="AL44" s="21">
        <v>4972</v>
      </c>
      <c r="AM44" s="21">
        <v>5023</v>
      </c>
      <c r="AN44" s="21">
        <v>5070</v>
      </c>
      <c r="AO44" s="21">
        <v>5112</v>
      </c>
      <c r="AP44" s="21">
        <v>5157</v>
      </c>
      <c r="AQ44" s="21">
        <v>5204</v>
      </c>
      <c r="AR44" s="21">
        <v>5255</v>
      </c>
      <c r="AS44" s="21">
        <v>5439</v>
      </c>
      <c r="AT44" s="21">
        <v>5495</v>
      </c>
      <c r="AU44" s="21">
        <v>5539</v>
      </c>
      <c r="AV44" s="21">
        <v>5576</v>
      </c>
      <c r="AW44" s="21">
        <v>5602</v>
      </c>
      <c r="AX44" s="21">
        <v>5619</v>
      </c>
      <c r="AY44" s="21">
        <v>5634</v>
      </c>
      <c r="AZ44" s="21">
        <v>5699</v>
      </c>
      <c r="BA44" s="21">
        <v>5774</v>
      </c>
      <c r="BB44" s="21">
        <v>5828</v>
      </c>
      <c r="BC44" s="21">
        <v>5885</v>
      </c>
      <c r="BD44" s="50">
        <f>[1]POP!BN4</f>
        <v>5928.8140000000003</v>
      </c>
      <c r="BE44" s="21"/>
    </row>
    <row r="45" spans="1:57" s="46" customFormat="1" x14ac:dyDescent="0.3">
      <c r="A45" s="21">
        <v>20</v>
      </c>
      <c r="B45" s="21" t="s">
        <v>95</v>
      </c>
      <c r="C45" s="21">
        <v>449767</v>
      </c>
      <c r="D45" s="21"/>
      <c r="E45" s="21"/>
      <c r="F45" s="21"/>
      <c r="G45" s="21"/>
      <c r="H45" s="21"/>
      <c r="I45" s="21"/>
      <c r="J45" s="21"/>
      <c r="K45" s="21"/>
      <c r="L45" s="21"/>
      <c r="M45" s="21">
        <v>557892</v>
      </c>
      <c r="N45" s="21"/>
      <c r="O45" s="21"/>
      <c r="P45" s="21"/>
      <c r="Q45" s="21"/>
      <c r="R45" s="21"/>
      <c r="S45" s="21"/>
      <c r="T45" s="21"/>
      <c r="U45" s="21"/>
      <c r="V45" s="21">
        <v>570996</v>
      </c>
      <c r="W45" s="21"/>
      <c r="X45" s="21"/>
      <c r="Y45" s="21"/>
      <c r="Z45" s="21"/>
      <c r="AA45" s="21"/>
      <c r="AB45" s="21"/>
      <c r="AC45" s="21"/>
      <c r="AD45" s="21"/>
      <c r="AE45" s="21"/>
      <c r="AF45" s="21"/>
      <c r="AG45" s="21">
        <v>585907</v>
      </c>
      <c r="AH45" s="21"/>
      <c r="AI45" s="21"/>
      <c r="AJ45" s="21"/>
      <c r="AK45" s="21"/>
      <c r="AL45" s="21"/>
      <c r="AM45" s="21"/>
      <c r="AN45" s="21"/>
      <c r="AO45" s="21"/>
      <c r="AP45" s="21"/>
      <c r="AQ45" s="21">
        <v>662172</v>
      </c>
      <c r="AR45" s="21"/>
      <c r="AS45" s="21"/>
      <c r="AT45" s="21"/>
      <c r="AU45" s="21"/>
      <c r="AV45" s="21"/>
      <c r="AW45" s="21"/>
      <c r="AX45" s="21"/>
      <c r="AY45" s="21"/>
      <c r="AZ45" s="21"/>
      <c r="BA45" s="21">
        <v>651236.12199999997</v>
      </c>
      <c r="BB45" s="21"/>
      <c r="BC45" s="21"/>
      <c r="BD45" s="50">
        <f>BD47</f>
        <v>652842</v>
      </c>
      <c r="BE45" s="21"/>
    </row>
    <row r="46" spans="1:57" s="46" customFormat="1" x14ac:dyDescent="0.3">
      <c r="A46" s="21">
        <v>21</v>
      </c>
      <c r="B46" s="21" t="s">
        <v>96</v>
      </c>
      <c r="C46" s="21"/>
      <c r="D46" s="21">
        <v>460579.5</v>
      </c>
      <c r="E46" s="21">
        <v>471392</v>
      </c>
      <c r="F46" s="21">
        <v>482204.5</v>
      </c>
      <c r="G46" s="21">
        <v>493017</v>
      </c>
      <c r="H46" s="21">
        <v>503829.5</v>
      </c>
      <c r="I46" s="21">
        <v>514642</v>
      </c>
      <c r="J46" s="21">
        <v>525454.5</v>
      </c>
      <c r="K46" s="21">
        <v>536267</v>
      </c>
      <c r="L46" s="21">
        <v>547079.5</v>
      </c>
      <c r="M46" s="21"/>
      <c r="N46" s="21">
        <v>559348</v>
      </c>
      <c r="O46" s="21">
        <v>560804</v>
      </c>
      <c r="P46" s="21">
        <v>562260</v>
      </c>
      <c r="Q46" s="21">
        <v>563716</v>
      </c>
      <c r="R46" s="21">
        <v>565172</v>
      </c>
      <c r="S46" s="21">
        <v>566628</v>
      </c>
      <c r="T46" s="21">
        <v>568084</v>
      </c>
      <c r="U46" s="21">
        <v>569540</v>
      </c>
      <c r="V46" s="21"/>
      <c r="W46" s="21">
        <v>573908</v>
      </c>
      <c r="X46" s="21">
        <v>574998.81817999994</v>
      </c>
      <c r="Y46" s="21">
        <v>576089.63617999991</v>
      </c>
      <c r="Z46" s="21">
        <v>577180.45418</v>
      </c>
      <c r="AA46" s="21">
        <v>578271.27217999997</v>
      </c>
      <c r="AB46" s="21">
        <v>579362.09017999994</v>
      </c>
      <c r="AC46" s="21">
        <v>580452.90817999991</v>
      </c>
      <c r="AD46" s="21">
        <v>581543.72618</v>
      </c>
      <c r="AE46" s="21">
        <v>582634.54417999997</v>
      </c>
      <c r="AF46" s="21">
        <v>583725.36217999994</v>
      </c>
      <c r="AG46" s="21"/>
      <c r="AH46" s="21">
        <v>592840.18099999998</v>
      </c>
      <c r="AI46" s="21">
        <v>599773.36399999994</v>
      </c>
      <c r="AJ46" s="21">
        <v>606706.54500000004</v>
      </c>
      <c r="AK46" s="21">
        <v>613639.72699999996</v>
      </c>
      <c r="AL46" s="21">
        <v>620572.90899999999</v>
      </c>
      <c r="AM46" s="21">
        <v>627506.09100000001</v>
      </c>
      <c r="AN46" s="21">
        <v>634439.27300000004</v>
      </c>
      <c r="AO46" s="21">
        <v>641372.45499999996</v>
      </c>
      <c r="AP46" s="21">
        <v>648305.63600000006</v>
      </c>
      <c r="AQ46" s="21"/>
      <c r="AR46" s="21">
        <v>668661.38739431207</v>
      </c>
      <c r="AS46" s="21">
        <v>692074.07916986931</v>
      </c>
      <c r="AT46" s="21">
        <v>699199.68101460417</v>
      </c>
      <c r="AU46" s="21">
        <v>704798.36817832431</v>
      </c>
      <c r="AV46" s="21">
        <v>709506.35511145263</v>
      </c>
      <c r="AW46" s="21">
        <v>712814.67025365098</v>
      </c>
      <c r="AX46" s="21">
        <f>AY45</f>
        <v>0</v>
      </c>
      <c r="AY46" s="21">
        <f>BA45</f>
        <v>651236.12199999997</v>
      </c>
      <c r="AZ46" s="21">
        <f>BA45</f>
        <v>651236.12199999997</v>
      </c>
      <c r="BA46" s="21">
        <f>BA45</f>
        <v>651236.12199999997</v>
      </c>
      <c r="BB46" s="21">
        <f>(BA46-AZ46)+BA46</f>
        <v>651236.12199999997</v>
      </c>
      <c r="BC46" s="21">
        <f>(BB46-BA46)+BB46</f>
        <v>651236.12199999997</v>
      </c>
      <c r="BD46" s="50">
        <f>BD47</f>
        <v>652842</v>
      </c>
      <c r="BE46" s="21"/>
    </row>
    <row r="47" spans="1:57" s="45" customFormat="1" x14ac:dyDescent="0.3">
      <c r="A47" s="18">
        <v>22</v>
      </c>
      <c r="B47" s="18" t="s">
        <v>97</v>
      </c>
      <c r="C47" s="18">
        <v>449767</v>
      </c>
      <c r="D47" s="18">
        <v>460579.5</v>
      </c>
      <c r="E47" s="18">
        <v>471392</v>
      </c>
      <c r="F47" s="18">
        <v>482204.5</v>
      </c>
      <c r="G47" s="18">
        <v>493017</v>
      </c>
      <c r="H47" s="18">
        <v>503829.5</v>
      </c>
      <c r="I47" s="18">
        <v>514642</v>
      </c>
      <c r="J47" s="18">
        <v>525454.5</v>
      </c>
      <c r="K47" s="18">
        <v>536267</v>
      </c>
      <c r="L47" s="18">
        <v>547079.5</v>
      </c>
      <c r="M47" s="18">
        <v>557892</v>
      </c>
      <c r="N47" s="18">
        <v>559348</v>
      </c>
      <c r="O47" s="18">
        <v>560804</v>
      </c>
      <c r="P47" s="18">
        <v>562260</v>
      </c>
      <c r="Q47" s="18">
        <v>563716</v>
      </c>
      <c r="R47" s="18">
        <v>565172</v>
      </c>
      <c r="S47" s="18">
        <v>566628</v>
      </c>
      <c r="T47" s="18">
        <v>568084</v>
      </c>
      <c r="U47" s="18">
        <v>569540</v>
      </c>
      <c r="V47" s="18">
        <v>570996</v>
      </c>
      <c r="W47" s="18">
        <v>573908</v>
      </c>
      <c r="X47" s="18">
        <v>574998.81817999994</v>
      </c>
      <c r="Y47" s="18">
        <v>576089.63617999991</v>
      </c>
      <c r="Z47" s="18">
        <v>577180.45418</v>
      </c>
      <c r="AA47" s="18">
        <v>578271.27217999997</v>
      </c>
      <c r="AB47" s="18">
        <v>579362.09017999994</v>
      </c>
      <c r="AC47" s="18">
        <v>580452.90817999991</v>
      </c>
      <c r="AD47" s="18">
        <v>581543.72618</v>
      </c>
      <c r="AE47" s="18">
        <v>582634.54417999997</v>
      </c>
      <c r="AF47" s="18">
        <v>583725.36217999994</v>
      </c>
      <c r="AG47" s="18">
        <v>585907</v>
      </c>
      <c r="AH47" s="18">
        <v>592840.18099999998</v>
      </c>
      <c r="AI47" s="18">
        <v>599773.36399999994</v>
      </c>
      <c r="AJ47" s="18">
        <v>606706.54500000004</v>
      </c>
      <c r="AK47" s="18">
        <v>613639.72699999996</v>
      </c>
      <c r="AL47" s="18">
        <v>620572.90899999999</v>
      </c>
      <c r="AM47" s="18">
        <v>627506.09100000001</v>
      </c>
      <c r="AN47" s="18">
        <v>634439.27300000004</v>
      </c>
      <c r="AO47" s="18">
        <v>641372.45499999996</v>
      </c>
      <c r="AP47" s="18">
        <v>648305.63600000006</v>
      </c>
      <c r="AQ47" s="18">
        <v>662172</v>
      </c>
      <c r="AR47" s="18">
        <f>AQ47-$AU$55</f>
        <v>661078.41220000002</v>
      </c>
      <c r="AS47" s="18">
        <f t="shared" ref="AS47:AZ47" si="10">AR47-$AU$55</f>
        <v>659984.82440000004</v>
      </c>
      <c r="AT47" s="18">
        <f t="shared" si="10"/>
        <v>658891.23660000006</v>
      </c>
      <c r="AU47" s="18">
        <f t="shared" si="10"/>
        <v>657797.64880000008</v>
      </c>
      <c r="AV47" s="18">
        <f t="shared" si="10"/>
        <v>656704.0610000001</v>
      </c>
      <c r="AW47" s="18">
        <f t="shared" si="10"/>
        <v>655610.47320000012</v>
      </c>
      <c r="AX47" s="18">
        <f>BA45-$AU$55</f>
        <v>650142.53419999999</v>
      </c>
      <c r="AY47" s="18">
        <f t="shared" si="10"/>
        <v>649048.94640000002</v>
      </c>
      <c r="AZ47" s="18">
        <f t="shared" si="10"/>
        <v>647955.35860000004</v>
      </c>
      <c r="BA47" s="18">
        <f>BA45</f>
        <v>651236.12199999997</v>
      </c>
      <c r="BB47" s="18">
        <f>BA47-$AU$56</f>
        <v>651771.41466666665</v>
      </c>
      <c r="BC47" s="18">
        <f>(BB47-BA47)+BB47</f>
        <v>652306.70733333332</v>
      </c>
      <c r="BD47" s="49">
        <v>652842</v>
      </c>
      <c r="BE47" s="18"/>
    </row>
    <row r="48" spans="1:57" s="45" customFormat="1" x14ac:dyDescent="0.3">
      <c r="A48" s="18">
        <v>23</v>
      </c>
      <c r="B48" s="18" t="s">
        <v>98</v>
      </c>
      <c r="C48" s="18">
        <f>C47*C43</f>
        <v>825749723.64999998</v>
      </c>
      <c r="D48" s="18">
        <f t="shared" ref="D48:BB48" si="11">D47*D43</f>
        <v>860730969.60000002</v>
      </c>
      <c r="E48" s="18">
        <f t="shared" si="11"/>
        <v>896422596.80000007</v>
      </c>
      <c r="F48" s="18">
        <f t="shared" si="11"/>
        <v>932824605.25</v>
      </c>
      <c r="G48" s="18">
        <f t="shared" si="11"/>
        <v>969936994.94999993</v>
      </c>
      <c r="H48" s="18">
        <f t="shared" si="11"/>
        <v>1007759765.9</v>
      </c>
      <c r="I48" s="18">
        <f t="shared" si="11"/>
        <v>1046292918.1000001</v>
      </c>
      <c r="J48" s="18">
        <f t="shared" si="11"/>
        <v>1085536451.55</v>
      </c>
      <c r="K48" s="18">
        <f t="shared" si="11"/>
        <v>1125490366.25</v>
      </c>
      <c r="L48" s="18">
        <f t="shared" si="11"/>
        <v>1166154662.2</v>
      </c>
      <c r="M48" s="18">
        <f t="shared" si="11"/>
        <v>1207529339.3999999</v>
      </c>
      <c r="N48" s="18">
        <f t="shared" si="11"/>
        <v>1218438935.3600001</v>
      </c>
      <c r="O48" s="18">
        <f t="shared" si="11"/>
        <v>1229388920.76</v>
      </c>
      <c r="P48" s="18">
        <f t="shared" si="11"/>
        <v>1240379295.5999999</v>
      </c>
      <c r="Q48" s="18">
        <f t="shared" si="11"/>
        <v>1251410059.8799999</v>
      </c>
      <c r="R48" s="18">
        <f t="shared" si="11"/>
        <v>1262481213.6000001</v>
      </c>
      <c r="S48" s="18">
        <f t="shared" si="11"/>
        <v>1285588271.52</v>
      </c>
      <c r="T48" s="18">
        <f t="shared" si="11"/>
        <v>1308797365.9200001</v>
      </c>
      <c r="U48" s="18">
        <f t="shared" si="11"/>
        <v>1332108496.8</v>
      </c>
      <c r="V48" s="18">
        <f t="shared" si="11"/>
        <v>1355521664.1600001</v>
      </c>
      <c r="W48" s="18">
        <f t="shared" si="11"/>
        <v>1382544372</v>
      </c>
      <c r="X48" s="18">
        <f t="shared" si="11"/>
        <v>1409097853.8200898</v>
      </c>
      <c r="Y48" s="18">
        <f t="shared" si="11"/>
        <v>1435742113.0805194</v>
      </c>
      <c r="Z48" s="18">
        <f t="shared" si="11"/>
        <v>1462477150.2149093</v>
      </c>
      <c r="AA48" s="18">
        <f t="shared" si="11"/>
        <v>1489302965.2232592</v>
      </c>
      <c r="AB48" s="18">
        <f t="shared" si="11"/>
        <v>1516219558.1055689</v>
      </c>
      <c r="AC48" s="18">
        <f t="shared" si="11"/>
        <v>1506786095.2862983</v>
      </c>
      <c r="AD48" s="18">
        <f t="shared" si="11"/>
        <v>1497306447.2329078</v>
      </c>
      <c r="AE48" s="18">
        <f t="shared" si="11"/>
        <v>1487780613.9453971</v>
      </c>
      <c r="AF48" s="18">
        <f t="shared" si="11"/>
        <v>1478208595.4237664</v>
      </c>
      <c r="AG48" s="18">
        <f t="shared" si="11"/>
        <v>1471329658.3999999</v>
      </c>
      <c r="AH48" s="18">
        <f t="shared" si="11"/>
        <v>1506051195.8124001</v>
      </c>
      <c r="AI48" s="18">
        <f t="shared" si="11"/>
        <v>1541177636.1343999</v>
      </c>
      <c r="AJ48" s="18">
        <f t="shared" si="11"/>
        <v>1576708969.1460001</v>
      </c>
      <c r="AK48" s="18">
        <f t="shared" si="11"/>
        <v>1612645202.556</v>
      </c>
      <c r="AL48" s="18">
        <f t="shared" si="11"/>
        <v>1648986333.7948</v>
      </c>
      <c r="AM48" s="18">
        <f t="shared" si="11"/>
        <v>1644505212.6836998</v>
      </c>
      <c r="AN48" s="18">
        <f t="shared" si="11"/>
        <v>1667306409.444</v>
      </c>
      <c r="AO48" s="18">
        <f t="shared" si="11"/>
        <v>1715959934.7297497</v>
      </c>
      <c r="AP48" s="18">
        <f t="shared" si="11"/>
        <v>1762905100.6930001</v>
      </c>
      <c r="AQ48" s="18">
        <f t="shared" si="11"/>
        <v>1832031272.3999999</v>
      </c>
      <c r="AR48" s="18">
        <f t="shared" si="11"/>
        <v>1854611722.0362122</v>
      </c>
      <c r="AS48" s="18">
        <f t="shared" si="11"/>
        <v>1877465346.1328483</v>
      </c>
      <c r="AT48" s="18">
        <f t="shared" si="11"/>
        <v>1900595367.8066711</v>
      </c>
      <c r="AU48" s="18">
        <f t="shared" si="11"/>
        <v>1924005046.879519</v>
      </c>
      <c r="AV48" s="18">
        <f t="shared" si="11"/>
        <v>1947697680.2743163</v>
      </c>
      <c r="AW48" s="18">
        <f t="shared" si="11"/>
        <v>1971676602.4149795</v>
      </c>
      <c r="AX48" s="18">
        <f t="shared" si="11"/>
        <v>1982605628.7560804</v>
      </c>
      <c r="AY48" s="18">
        <f t="shared" si="11"/>
        <v>2006980529.8910642</v>
      </c>
      <c r="AZ48" s="18">
        <f t="shared" si="11"/>
        <v>2031262054.1279292</v>
      </c>
      <c r="BA48" s="18">
        <f t="shared" si="11"/>
        <v>2069350019.7295566</v>
      </c>
      <c r="BB48" s="18">
        <f t="shared" si="11"/>
        <v>2098876971.4641936</v>
      </c>
      <c r="BC48" s="18">
        <f>BC47*BC43</f>
        <v>2128449629.6055768</v>
      </c>
      <c r="BD48" s="18">
        <f>BD47*BD43</f>
        <v>2158067994.1537061</v>
      </c>
      <c r="BE48" s="18"/>
    </row>
    <row r="49" spans="1:57" s="46" customFormat="1" x14ac:dyDescent="0.3">
      <c r="A49" s="21">
        <v>24</v>
      </c>
      <c r="B49" s="21" t="s">
        <v>99</v>
      </c>
      <c r="C49" s="21">
        <v>0.54</v>
      </c>
      <c r="D49" s="21">
        <v>0.54</v>
      </c>
      <c r="E49" s="21">
        <v>0.54</v>
      </c>
      <c r="F49" s="21">
        <v>0.54</v>
      </c>
      <c r="G49" s="21">
        <v>0.54</v>
      </c>
      <c r="H49" s="21">
        <v>0.54</v>
      </c>
      <c r="I49" s="21">
        <v>0.54</v>
      </c>
      <c r="J49" s="21">
        <v>0.54</v>
      </c>
      <c r="K49" s="21">
        <v>0.54</v>
      </c>
      <c r="L49" s="21">
        <v>0.54</v>
      </c>
      <c r="M49" s="21">
        <v>0.54</v>
      </c>
      <c r="N49" s="21">
        <v>0.54</v>
      </c>
      <c r="O49" s="21">
        <v>0.54</v>
      </c>
      <c r="P49" s="21">
        <v>0.54</v>
      </c>
      <c r="Q49" s="21">
        <v>0.54</v>
      </c>
      <c r="R49" s="21">
        <v>0.54</v>
      </c>
      <c r="S49" s="21">
        <v>0.54</v>
      </c>
      <c r="T49" s="21">
        <v>0.54</v>
      </c>
      <c r="U49" s="21">
        <v>0.54</v>
      </c>
      <c r="V49" s="21">
        <v>0.54</v>
      </c>
      <c r="W49" s="21">
        <v>0.54</v>
      </c>
      <c r="X49" s="21">
        <v>0.54</v>
      </c>
      <c r="Y49" s="21">
        <v>0.54</v>
      </c>
      <c r="Z49" s="21">
        <v>0.54</v>
      </c>
      <c r="AA49" s="21">
        <v>0.54</v>
      </c>
      <c r="AB49" s="21">
        <v>0.54</v>
      </c>
      <c r="AC49" s="21">
        <v>0.54</v>
      </c>
      <c r="AD49" s="21">
        <v>0.54</v>
      </c>
      <c r="AE49" s="21">
        <v>0.54</v>
      </c>
      <c r="AF49" s="21">
        <v>0.54</v>
      </c>
      <c r="AG49" s="21">
        <v>0.54</v>
      </c>
      <c r="AH49" s="21">
        <v>0.54</v>
      </c>
      <c r="AI49" s="21">
        <v>0.54</v>
      </c>
      <c r="AJ49" s="21">
        <v>0.54</v>
      </c>
      <c r="AK49" s="21">
        <v>0.54</v>
      </c>
      <c r="AL49" s="21">
        <v>0.54</v>
      </c>
      <c r="AM49" s="21">
        <v>0.54</v>
      </c>
      <c r="AN49" s="21">
        <v>0.54</v>
      </c>
      <c r="AO49" s="21">
        <v>0.54</v>
      </c>
      <c r="AP49" s="21">
        <v>0.54</v>
      </c>
      <c r="AQ49" s="21">
        <v>0.54</v>
      </c>
      <c r="AR49" s="21">
        <v>0.54</v>
      </c>
      <c r="AS49" s="21">
        <v>0.54</v>
      </c>
      <c r="AT49" s="21">
        <v>0.54</v>
      </c>
      <c r="AU49" s="21">
        <v>0.54</v>
      </c>
      <c r="AV49" s="21">
        <v>0.54</v>
      </c>
      <c r="AW49" s="21">
        <v>0.54</v>
      </c>
      <c r="AX49" s="21">
        <v>0.54</v>
      </c>
      <c r="AY49" s="21">
        <v>0.54</v>
      </c>
      <c r="AZ49" s="21">
        <v>0.54</v>
      </c>
      <c r="BA49" s="21">
        <v>0.54</v>
      </c>
      <c r="BB49" s="21">
        <v>0.54</v>
      </c>
      <c r="BC49" s="21">
        <v>0.54</v>
      </c>
      <c r="BD49" s="21">
        <v>0.54</v>
      </c>
      <c r="BE49" s="21"/>
    </row>
    <row r="50" spans="1:57" s="45" customFormat="1" x14ac:dyDescent="0.3">
      <c r="A50" s="18">
        <v>25</v>
      </c>
      <c r="B50" s="18" t="s">
        <v>100</v>
      </c>
      <c r="C50" s="18">
        <f t="shared" ref="C50:BB50" si="12">C48*C49</f>
        <v>445904850.77100003</v>
      </c>
      <c r="D50" s="18">
        <f t="shared" si="12"/>
        <v>464794723.58400005</v>
      </c>
      <c r="E50" s="18">
        <f t="shared" si="12"/>
        <v>484068202.27200007</v>
      </c>
      <c r="F50" s="18">
        <f t="shared" si="12"/>
        <v>503725286.83500004</v>
      </c>
      <c r="G50" s="18">
        <f t="shared" si="12"/>
        <v>523765977.273</v>
      </c>
      <c r="H50" s="18">
        <f t="shared" si="12"/>
        <v>544190273.58599997</v>
      </c>
      <c r="I50" s="18">
        <f t="shared" si="12"/>
        <v>564998175.77400017</v>
      </c>
      <c r="J50" s="18">
        <f t="shared" si="12"/>
        <v>586189683.83700001</v>
      </c>
      <c r="K50" s="18">
        <f t="shared" si="12"/>
        <v>607764797.7750001</v>
      </c>
      <c r="L50" s="18">
        <f t="shared" si="12"/>
        <v>629723517.58800006</v>
      </c>
      <c r="M50" s="18">
        <f t="shared" si="12"/>
        <v>652065843.27600002</v>
      </c>
      <c r="N50" s="18">
        <f t="shared" si="12"/>
        <v>657957025.09440017</v>
      </c>
      <c r="O50" s="18">
        <f t="shared" si="12"/>
        <v>663870017.21039999</v>
      </c>
      <c r="P50" s="18">
        <f t="shared" si="12"/>
        <v>669804819.62399995</v>
      </c>
      <c r="Q50" s="18">
        <f t="shared" si="12"/>
        <v>675761432.33519995</v>
      </c>
      <c r="R50" s="18">
        <f t="shared" si="12"/>
        <v>681739855.3440001</v>
      </c>
      <c r="S50" s="18">
        <f t="shared" si="12"/>
        <v>694217666.62080002</v>
      </c>
      <c r="T50" s="18">
        <f t="shared" si="12"/>
        <v>706750577.59680009</v>
      </c>
      <c r="U50" s="18">
        <f t="shared" si="12"/>
        <v>719338588.27200007</v>
      </c>
      <c r="V50" s="18">
        <f t="shared" si="12"/>
        <v>731981698.64640009</v>
      </c>
      <c r="W50" s="18">
        <f t="shared" si="12"/>
        <v>746573960.88</v>
      </c>
      <c r="X50" s="18">
        <f t="shared" si="12"/>
        <v>760912841.06284857</v>
      </c>
      <c r="Y50" s="18">
        <f t="shared" si="12"/>
        <v>775300741.0634805</v>
      </c>
      <c r="Z50" s="18">
        <f t="shared" si="12"/>
        <v>789737661.11605108</v>
      </c>
      <c r="AA50" s="18">
        <f t="shared" si="12"/>
        <v>804223601.22056007</v>
      </c>
      <c r="AB50" s="18">
        <f t="shared" si="12"/>
        <v>818758561.37700725</v>
      </c>
      <c r="AC50" s="18">
        <f t="shared" si="12"/>
        <v>813664491.45460117</v>
      </c>
      <c r="AD50" s="18">
        <f t="shared" si="12"/>
        <v>808545481.50577021</v>
      </c>
      <c r="AE50" s="18">
        <f t="shared" si="12"/>
        <v>803401531.53051448</v>
      </c>
      <c r="AF50" s="18">
        <f t="shared" si="12"/>
        <v>798232641.52883387</v>
      </c>
      <c r="AG50" s="18">
        <f t="shared" si="12"/>
        <v>794518015.53600001</v>
      </c>
      <c r="AH50" s="18">
        <f t="shared" si="12"/>
        <v>813267645.7386961</v>
      </c>
      <c r="AI50" s="18">
        <f t="shared" si="12"/>
        <v>832235923.51257598</v>
      </c>
      <c r="AJ50" s="18">
        <f t="shared" si="12"/>
        <v>851422843.33884013</v>
      </c>
      <c r="AK50" s="18">
        <f t="shared" si="12"/>
        <v>870828409.38024008</v>
      </c>
      <c r="AL50" s="18">
        <f t="shared" si="12"/>
        <v>890452620.24919212</v>
      </c>
      <c r="AM50" s="18">
        <f t="shared" si="12"/>
        <v>888032814.84919798</v>
      </c>
      <c r="AN50" s="18">
        <f t="shared" si="12"/>
        <v>900345461.09976006</v>
      </c>
      <c r="AO50" s="18">
        <f t="shared" si="12"/>
        <v>926618364.75406492</v>
      </c>
      <c r="AP50" s="18">
        <f t="shared" si="12"/>
        <v>951968754.37422013</v>
      </c>
      <c r="AQ50" s="18">
        <f t="shared" si="12"/>
        <v>989296887.09599996</v>
      </c>
      <c r="AR50" s="18">
        <f t="shared" si="12"/>
        <v>1001490329.8995546</v>
      </c>
      <c r="AS50" s="18">
        <f t="shared" si="12"/>
        <v>1013831286.9117382</v>
      </c>
      <c r="AT50" s="18">
        <f t="shared" si="12"/>
        <v>1026321498.6156025</v>
      </c>
      <c r="AU50" s="18">
        <f t="shared" si="12"/>
        <v>1038962725.3149403</v>
      </c>
      <c r="AV50" s="18">
        <f t="shared" si="12"/>
        <v>1051756747.3481308</v>
      </c>
      <c r="AW50" s="18">
        <f t="shared" si="12"/>
        <v>1064705365.304089</v>
      </c>
      <c r="AX50" s="18">
        <f t="shared" si="12"/>
        <v>1070607039.5282835</v>
      </c>
      <c r="AY50" s="18">
        <f t="shared" si="12"/>
        <v>1083769486.1411748</v>
      </c>
      <c r="AZ50" s="18">
        <f t="shared" si="12"/>
        <v>1096881509.2290819</v>
      </c>
      <c r="BA50" s="18">
        <f t="shared" si="12"/>
        <v>1117449010.6539607</v>
      </c>
      <c r="BB50" s="18">
        <f t="shared" si="12"/>
        <v>1133393564.5906646</v>
      </c>
      <c r="BC50" s="18">
        <f>BC48*BC49</f>
        <v>1149362799.9870114</v>
      </c>
      <c r="BD50" s="18">
        <f>BD48*BD49</f>
        <v>1165356716.8430014</v>
      </c>
      <c r="BE50" s="18"/>
    </row>
    <row r="51" spans="1:57" s="46" customFormat="1" x14ac:dyDescent="0.3">
      <c r="A51" s="21">
        <v>26</v>
      </c>
      <c r="B51" s="21" t="s">
        <v>101</v>
      </c>
      <c r="C51" s="21">
        <f>C50+C39</f>
        <v>573312086.77100003</v>
      </c>
      <c r="D51" s="21">
        <f>D50+D39</f>
        <v>601029027.58400011</v>
      </c>
      <c r="E51" s="21">
        <f t="shared" ref="E51:BB51" si="13">E50+E39</f>
        <v>642201104.67200005</v>
      </c>
      <c r="F51" s="21">
        <f t="shared" si="13"/>
        <v>673549860.43500006</v>
      </c>
      <c r="G51" s="21">
        <f t="shared" si="13"/>
        <v>705896249.87300003</v>
      </c>
      <c r="H51" s="21">
        <f t="shared" si="13"/>
        <v>730227940.38599992</v>
      </c>
      <c r="I51" s="21">
        <f t="shared" si="13"/>
        <v>755434406.17400026</v>
      </c>
      <c r="J51" s="21">
        <f t="shared" si="13"/>
        <v>798645103.37700009</v>
      </c>
      <c r="K51" s="21">
        <f t="shared" si="13"/>
        <v>827256555.97500014</v>
      </c>
      <c r="L51" s="21">
        <f t="shared" si="13"/>
        <v>863875581.18800008</v>
      </c>
      <c r="M51" s="21">
        <f t="shared" si="13"/>
        <v>887540700.676</v>
      </c>
      <c r="N51" s="21">
        <f t="shared" si="13"/>
        <v>913234155.69440019</v>
      </c>
      <c r="O51" s="21">
        <f t="shared" si="13"/>
        <v>957013517.21039999</v>
      </c>
      <c r="P51" s="21">
        <f t="shared" si="13"/>
        <v>1017420579.624</v>
      </c>
      <c r="Q51" s="21">
        <f t="shared" si="13"/>
        <v>1037928892.3352</v>
      </c>
      <c r="R51" s="21">
        <f t="shared" si="13"/>
        <v>1042860615.3440001</v>
      </c>
      <c r="S51" s="21">
        <f t="shared" si="13"/>
        <v>1060982106.6208</v>
      </c>
      <c r="T51" s="21">
        <f t="shared" si="13"/>
        <v>1078241977.5968001</v>
      </c>
      <c r="U51" s="21">
        <f t="shared" si="13"/>
        <v>1090799788.2720001</v>
      </c>
      <c r="V51" s="21">
        <f t="shared" si="13"/>
        <v>1110186798.6464</v>
      </c>
      <c r="W51" s="21">
        <f t="shared" si="13"/>
        <v>1133523460.8800001</v>
      </c>
      <c r="X51" s="21">
        <f t="shared" si="13"/>
        <v>1138927561.0628486</v>
      </c>
      <c r="Y51" s="21">
        <f t="shared" si="13"/>
        <v>1098943741.0634804</v>
      </c>
      <c r="Z51" s="21">
        <f t="shared" si="13"/>
        <v>1141429721.1160512</v>
      </c>
      <c r="AA51" s="21">
        <f t="shared" si="13"/>
        <v>1140899481.2205601</v>
      </c>
      <c r="AB51" s="21">
        <f t="shared" si="13"/>
        <v>1157455201.3770072</v>
      </c>
      <c r="AC51" s="21">
        <f t="shared" si="13"/>
        <v>1137726091.4546013</v>
      </c>
      <c r="AD51" s="21">
        <f t="shared" si="13"/>
        <v>1140969961.5057702</v>
      </c>
      <c r="AE51" s="21">
        <f t="shared" si="13"/>
        <v>1146279611.5305145</v>
      </c>
      <c r="AF51" s="21">
        <f t="shared" si="13"/>
        <v>1124384961.5288339</v>
      </c>
      <c r="AG51" s="21">
        <f t="shared" si="13"/>
        <v>1131123935.536</v>
      </c>
      <c r="AH51" s="21">
        <f t="shared" si="13"/>
        <v>1160327165.7386961</v>
      </c>
      <c r="AI51" s="21">
        <f t="shared" si="13"/>
        <v>1200202643.5125761</v>
      </c>
      <c r="AJ51" s="21">
        <f t="shared" si="13"/>
        <v>1206845243.33884</v>
      </c>
      <c r="AK51" s="21">
        <f t="shared" si="13"/>
        <v>1234613689.38024</v>
      </c>
      <c r="AL51" s="21">
        <f t="shared" si="13"/>
        <v>1204060620.2491922</v>
      </c>
      <c r="AM51" s="21">
        <f t="shared" si="13"/>
        <v>1228820174.8491979</v>
      </c>
      <c r="AN51" s="21">
        <f t="shared" si="13"/>
        <v>1216044181.0997601</v>
      </c>
      <c r="AO51" s="21">
        <f t="shared" si="13"/>
        <v>1269496444.754065</v>
      </c>
      <c r="AP51" s="21">
        <f t="shared" si="13"/>
        <v>1296987731.6542201</v>
      </c>
      <c r="AQ51" s="21">
        <f t="shared" si="13"/>
        <v>1346762433.096</v>
      </c>
      <c r="AR51" s="21">
        <f t="shared" si="13"/>
        <v>1369079234.8995547</v>
      </c>
      <c r="AS51" s="21">
        <f t="shared" si="13"/>
        <v>1385276977.9117382</v>
      </c>
      <c r="AT51" s="21">
        <f t="shared" si="13"/>
        <v>1374529276.6156025</v>
      </c>
      <c r="AU51" s="21">
        <f t="shared" si="13"/>
        <v>1395875683.3149405</v>
      </c>
      <c r="AV51" s="21">
        <f t="shared" si="13"/>
        <v>1397033214.3481307</v>
      </c>
      <c r="AW51" s="21">
        <f t="shared" si="13"/>
        <v>1397551920.3040891</v>
      </c>
      <c r="AX51" s="21">
        <f t="shared" si="13"/>
        <v>1363098897.5282836</v>
      </c>
      <c r="AY51" s="21">
        <f t="shared" si="13"/>
        <v>1364447839.1411748</v>
      </c>
      <c r="AZ51" s="21">
        <f t="shared" si="13"/>
        <v>1374005731.2290819</v>
      </c>
      <c r="BA51" s="21">
        <f t="shared" si="13"/>
        <v>1398376146.6539607</v>
      </c>
      <c r="BB51" s="21">
        <f t="shared" si="13"/>
        <v>1422106863.7906647</v>
      </c>
      <c r="BC51" s="21">
        <f>BC50+BC39</f>
        <v>1427505046.3870115</v>
      </c>
      <c r="BD51" s="21">
        <f>BD50+BD39</f>
        <v>1461876087.8430014</v>
      </c>
      <c r="BE51" s="21"/>
    </row>
    <row r="52" spans="1:57" s="46" customFormat="1" x14ac:dyDescent="0.3">
      <c r="A52" s="21">
        <v>27</v>
      </c>
      <c r="B52" s="21" t="s">
        <v>102</v>
      </c>
      <c r="C52" s="21">
        <f t="shared" ref="C52:BA52" si="14">C51/1000000000</f>
        <v>0.57331208677099998</v>
      </c>
      <c r="D52" s="21">
        <f t="shared" si="14"/>
        <v>0.60102902758400012</v>
      </c>
      <c r="E52" s="21">
        <f t="shared" si="14"/>
        <v>0.64220110467200009</v>
      </c>
      <c r="F52" s="21">
        <f t="shared" si="14"/>
        <v>0.67354986043500009</v>
      </c>
      <c r="G52" s="21">
        <f t="shared" si="14"/>
        <v>0.70589624987300004</v>
      </c>
      <c r="H52" s="21">
        <f t="shared" si="14"/>
        <v>0.73022794038599992</v>
      </c>
      <c r="I52" s="21">
        <f t="shared" si="14"/>
        <v>0.75543440617400026</v>
      </c>
      <c r="J52" s="21">
        <f t="shared" si="14"/>
        <v>0.79864510337700012</v>
      </c>
      <c r="K52" s="21">
        <f t="shared" si="14"/>
        <v>0.82725655597500014</v>
      </c>
      <c r="L52" s="21">
        <f t="shared" si="14"/>
        <v>0.86387558118800012</v>
      </c>
      <c r="M52" s="21">
        <f t="shared" si="14"/>
        <v>0.88754070067599999</v>
      </c>
      <c r="N52" s="21">
        <f t="shared" si="14"/>
        <v>0.91323415569440014</v>
      </c>
      <c r="O52" s="21">
        <f t="shared" si="14"/>
        <v>0.95701351721039996</v>
      </c>
      <c r="P52" s="21">
        <f t="shared" si="14"/>
        <v>1.0174205796239999</v>
      </c>
      <c r="Q52" s="21">
        <f t="shared" si="14"/>
        <v>1.0379288923351999</v>
      </c>
      <c r="R52" s="21">
        <f t="shared" si="14"/>
        <v>1.0428606153440001</v>
      </c>
      <c r="S52" s="21">
        <f t="shared" si="14"/>
        <v>1.0609821066208001</v>
      </c>
      <c r="T52" s="21">
        <f t="shared" si="14"/>
        <v>1.0782419775968002</v>
      </c>
      <c r="U52" s="21">
        <f t="shared" si="14"/>
        <v>1.090799788272</v>
      </c>
      <c r="V52" s="21">
        <f t="shared" si="14"/>
        <v>1.1101867986464</v>
      </c>
      <c r="W52" s="21">
        <f t="shared" si="14"/>
        <v>1.1335234608800002</v>
      </c>
      <c r="X52" s="21">
        <f t="shared" si="14"/>
        <v>1.1389275610628486</v>
      </c>
      <c r="Y52" s="21">
        <f t="shared" si="14"/>
        <v>1.0989437410634804</v>
      </c>
      <c r="Z52" s="21">
        <f t="shared" si="14"/>
        <v>1.1414297211160511</v>
      </c>
      <c r="AA52" s="21">
        <f t="shared" si="14"/>
        <v>1.1408994812205602</v>
      </c>
      <c r="AB52" s="21">
        <f t="shared" si="14"/>
        <v>1.1574552013770072</v>
      </c>
      <c r="AC52" s="21">
        <f t="shared" si="14"/>
        <v>1.1377260914546012</v>
      </c>
      <c r="AD52" s="21">
        <f t="shared" si="14"/>
        <v>1.1409699615057702</v>
      </c>
      <c r="AE52" s="21">
        <f t="shared" si="14"/>
        <v>1.1462796115305145</v>
      </c>
      <c r="AF52" s="21">
        <f t="shared" si="14"/>
        <v>1.1243849615288339</v>
      </c>
      <c r="AG52" s="21">
        <f t="shared" si="14"/>
        <v>1.1311239355360001</v>
      </c>
      <c r="AH52" s="21">
        <f t="shared" si="14"/>
        <v>1.1603271657386962</v>
      </c>
      <c r="AI52" s="21">
        <f t="shared" si="14"/>
        <v>1.2002026435125761</v>
      </c>
      <c r="AJ52" s="21">
        <f t="shared" si="14"/>
        <v>1.2068452433388399</v>
      </c>
      <c r="AK52" s="21">
        <f t="shared" si="14"/>
        <v>1.23461368938024</v>
      </c>
      <c r="AL52" s="21">
        <f t="shared" si="14"/>
        <v>1.2040606202491921</v>
      </c>
      <c r="AM52" s="21">
        <f t="shared" si="14"/>
        <v>1.2288201748491978</v>
      </c>
      <c r="AN52" s="21">
        <f t="shared" si="14"/>
        <v>1.21604418109976</v>
      </c>
      <c r="AO52" s="21">
        <f t="shared" si="14"/>
        <v>1.2694964447540651</v>
      </c>
      <c r="AP52" s="21">
        <f t="shared" si="14"/>
        <v>1.2969877316542202</v>
      </c>
      <c r="AQ52" s="21">
        <f t="shared" si="14"/>
        <v>1.346762433096</v>
      </c>
      <c r="AR52" s="21">
        <f t="shared" si="14"/>
        <v>1.3690792348995546</v>
      </c>
      <c r="AS52" s="21">
        <f t="shared" si="14"/>
        <v>1.3852769779117382</v>
      </c>
      <c r="AT52" s="21">
        <f t="shared" si="14"/>
        <v>1.3745292766156025</v>
      </c>
      <c r="AU52" s="21">
        <f t="shared" si="14"/>
        <v>1.3958756833149404</v>
      </c>
      <c r="AV52" s="21">
        <f t="shared" si="14"/>
        <v>1.3970332143481308</v>
      </c>
      <c r="AW52" s="21">
        <f t="shared" si="14"/>
        <v>1.3975519203040891</v>
      </c>
      <c r="AX52" s="21">
        <f t="shared" si="14"/>
        <v>1.3630988975282836</v>
      </c>
      <c r="AY52" s="21">
        <f t="shared" si="14"/>
        <v>1.3644478391411747</v>
      </c>
      <c r="AZ52" s="21">
        <f t="shared" si="14"/>
        <v>1.3740057312290819</v>
      </c>
      <c r="BA52" s="21">
        <f t="shared" si="14"/>
        <v>1.3983761466539606</v>
      </c>
      <c r="BB52" s="21">
        <f>BB51/1000000000</f>
        <v>1.4221068637906646</v>
      </c>
      <c r="BC52" s="21">
        <f>BC51/1000000000</f>
        <v>1.4275050463870116</v>
      </c>
      <c r="BD52" s="21">
        <f>BD51/1000000000</f>
        <v>1.4618760878430013</v>
      </c>
      <c r="BE52" s="21"/>
    </row>
    <row r="53" spans="1:57" s="39" customFormat="1" x14ac:dyDescent="0.3">
      <c r="A53" s="38"/>
      <c r="B53" s="4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row>
    <row r="54" spans="1:57" s="15" customFormat="1" ht="15" x14ac:dyDescent="0.3">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51">
        <v>653008</v>
      </c>
      <c r="AY54" s="51">
        <v>653294</v>
      </c>
      <c r="AZ54" s="51">
        <v>641075</v>
      </c>
      <c r="BA54" s="52">
        <v>643815</v>
      </c>
      <c r="BB54" s="51">
        <v>629280</v>
      </c>
      <c r="BC54" s="14" t="s">
        <v>103</v>
      </c>
      <c r="BD54" s="14"/>
      <c r="BE54" s="14"/>
    </row>
    <row r="55" spans="1:57" s="15" customFormat="1" ht="15" x14ac:dyDescent="0.3">
      <c r="A55" s="125" t="s">
        <v>31</v>
      </c>
      <c r="B55" s="125"/>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f>AQ45-BA45</f>
        <v>10935.878000000026</v>
      </c>
      <c r="AU55" s="14">
        <f>AT55/10</f>
        <v>1093.5878000000025</v>
      </c>
      <c r="AV55" s="14"/>
      <c r="AW55" s="14"/>
      <c r="AY55" s="14"/>
      <c r="AZ55" s="14"/>
      <c r="BA55" s="14"/>
      <c r="BB55" s="14"/>
      <c r="BC55" s="14"/>
      <c r="BD55" s="14"/>
      <c r="BE55" s="14"/>
    </row>
    <row r="56" spans="1:57" s="15" customFormat="1" ht="15" x14ac:dyDescent="0.3">
      <c r="A56" s="14">
        <v>1</v>
      </c>
      <c r="B56" s="14" t="s">
        <v>104</v>
      </c>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51">
        <f>BA45-BD45</f>
        <v>-1605.8780000000261</v>
      </c>
      <c r="AU56" s="14">
        <f>AT56/3</f>
        <v>-535.29266666667536</v>
      </c>
      <c r="AV56" s="14"/>
      <c r="AW56" s="14"/>
      <c r="AX56" s="14"/>
      <c r="AY56" s="14"/>
      <c r="AZ56" s="14"/>
      <c r="BC56" s="14"/>
      <c r="BD56" s="14"/>
      <c r="BE56" s="14"/>
    </row>
    <row r="57" spans="1:57" s="15" customFormat="1" ht="15" x14ac:dyDescent="0.3">
      <c r="A57" s="14">
        <v>2</v>
      </c>
      <c r="B57" s="14" t="s">
        <v>105</v>
      </c>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BA57" s="14"/>
      <c r="BB57" s="14"/>
      <c r="BC57" s="14"/>
      <c r="BD57" s="14"/>
      <c r="BE57" s="14"/>
    </row>
    <row r="58" spans="1:57" s="15" customFormat="1" ht="15" x14ac:dyDescent="0.3">
      <c r="A58" s="14">
        <v>3</v>
      </c>
      <c r="B58" s="14" t="s">
        <v>106</v>
      </c>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row>
    <row r="59" spans="1:57" s="15" customFormat="1" ht="15" x14ac:dyDescent="0.3">
      <c r="A59" s="14">
        <v>4</v>
      </c>
      <c r="B59" s="14" t="s">
        <v>107</v>
      </c>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row>
    <row r="60" spans="1:57" s="15" customFormat="1" ht="15" x14ac:dyDescent="0.3">
      <c r="A60" s="14">
        <v>5</v>
      </c>
      <c r="B60" s="14" t="s">
        <v>105</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row>
    <row r="61" spans="1:57" s="15" customFormat="1" ht="15" x14ac:dyDescent="0.3">
      <c r="A61" s="14">
        <v>6</v>
      </c>
      <c r="B61" s="14" t="s">
        <v>106</v>
      </c>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row>
    <row r="62" spans="1:57" s="15" customFormat="1" ht="15" x14ac:dyDescent="0.3">
      <c r="A62" s="14">
        <v>7</v>
      </c>
      <c r="B62" s="14" t="s">
        <v>107</v>
      </c>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t="s">
        <v>108</v>
      </c>
      <c r="AX62" s="14"/>
      <c r="AY62" s="14"/>
      <c r="AZ62" s="14"/>
      <c r="BA62" s="14"/>
      <c r="BB62" s="14"/>
      <c r="BC62" s="14"/>
      <c r="BD62" s="14"/>
      <c r="BE62" s="14"/>
    </row>
    <row r="63" spans="1:57" s="15" customFormat="1" ht="15" x14ac:dyDescent="0.3">
      <c r="A63" s="14">
        <v>8</v>
      </c>
      <c r="B63" s="14" t="s">
        <v>109</v>
      </c>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53" t="s">
        <v>110</v>
      </c>
      <c r="AX63" s="54" t="s">
        <v>111</v>
      </c>
      <c r="AY63" s="14"/>
      <c r="AZ63" s="14"/>
      <c r="BA63" s="14"/>
      <c r="BB63" s="14"/>
      <c r="BC63" s="14"/>
      <c r="BD63" s="14"/>
      <c r="BE63" s="14"/>
    </row>
    <row r="64" spans="1:57" s="15" customFormat="1" ht="15" x14ac:dyDescent="0.3">
      <c r="A64" s="14">
        <v>9</v>
      </c>
      <c r="B64" s="14" t="s">
        <v>107</v>
      </c>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row>
    <row r="65" spans="1:57" s="15" customFormat="1" ht="15" x14ac:dyDescent="0.3">
      <c r="A65" s="14">
        <v>10</v>
      </c>
      <c r="B65" s="55" t="s">
        <v>112</v>
      </c>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56" t="s">
        <v>113</v>
      </c>
      <c r="AX65" s="56"/>
      <c r="AY65" s="56"/>
      <c r="AZ65" s="56"/>
      <c r="BA65" s="14"/>
      <c r="BB65" s="14"/>
      <c r="BC65" s="14"/>
      <c r="BD65" s="14"/>
      <c r="BE65" s="14"/>
    </row>
    <row r="66" spans="1:57" s="15" customFormat="1" ht="15" x14ac:dyDescent="0.3">
      <c r="A66" s="14">
        <v>11</v>
      </c>
      <c r="B66" s="14" t="s">
        <v>107</v>
      </c>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row>
    <row r="67" spans="1:57" s="15" customFormat="1" ht="15" x14ac:dyDescent="0.3">
      <c r="A67" s="14">
        <v>12</v>
      </c>
      <c r="B67" s="55" t="s">
        <v>112</v>
      </c>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row>
    <row r="68" spans="1:57" s="15" customFormat="1" ht="15" x14ac:dyDescent="0.3">
      <c r="A68" s="14">
        <v>13</v>
      </c>
      <c r="B68" s="14" t="s">
        <v>107</v>
      </c>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row>
    <row r="69" spans="1:57" s="15" customFormat="1" ht="15" x14ac:dyDescent="0.3">
      <c r="A69" s="14">
        <v>14</v>
      </c>
      <c r="B69" s="15" t="s">
        <v>114</v>
      </c>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row>
    <row r="70" spans="1:57" s="15" customFormat="1" ht="15" x14ac:dyDescent="0.3">
      <c r="A70" s="14">
        <v>15</v>
      </c>
      <c r="B70" s="55" t="s">
        <v>115</v>
      </c>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row>
    <row r="71" spans="1:57" s="15" customFormat="1" ht="15" x14ac:dyDescent="0.3">
      <c r="A71" s="14">
        <v>16</v>
      </c>
      <c r="B71" s="55" t="s">
        <v>116</v>
      </c>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row>
    <row r="72" spans="1:57" s="15" customFormat="1" ht="15" x14ac:dyDescent="0.3">
      <c r="A72" s="14">
        <v>17</v>
      </c>
      <c r="B72" s="14" t="s">
        <v>107</v>
      </c>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row>
    <row r="73" spans="1:57" s="15" customFormat="1" ht="15" x14ac:dyDescent="0.3">
      <c r="A73" s="14">
        <v>18</v>
      </c>
      <c r="B73" s="14" t="s">
        <v>117</v>
      </c>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row>
    <row r="74" spans="1:57" s="15" customFormat="1" ht="15" x14ac:dyDescent="0.3">
      <c r="A74" s="14">
        <v>19</v>
      </c>
      <c r="B74" s="14" t="s">
        <v>118</v>
      </c>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row>
    <row r="75" spans="1:57" s="15" customFormat="1" ht="15" x14ac:dyDescent="0.3">
      <c r="A75" s="14">
        <v>20</v>
      </c>
      <c r="B75" s="14" t="s">
        <v>119</v>
      </c>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row>
    <row r="76" spans="1:57" s="15" customFormat="1" ht="15" x14ac:dyDescent="0.3">
      <c r="A76" s="14">
        <v>21</v>
      </c>
      <c r="B76" s="14" t="s">
        <v>120</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row>
    <row r="77" spans="1:57" s="15" customFormat="1" ht="15" x14ac:dyDescent="0.3">
      <c r="A77" s="14">
        <v>22</v>
      </c>
      <c r="B77" s="14" t="s">
        <v>107</v>
      </c>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row>
    <row r="78" spans="1:57" s="15" customFormat="1" ht="15" x14ac:dyDescent="0.3">
      <c r="A78" s="14">
        <v>23</v>
      </c>
      <c r="B78" s="14" t="s">
        <v>107</v>
      </c>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row>
    <row r="79" spans="1:57" s="15" customFormat="1" ht="15" x14ac:dyDescent="0.3">
      <c r="A79" s="14">
        <v>24</v>
      </c>
      <c r="B79" s="14" t="s">
        <v>121</v>
      </c>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row>
    <row r="80" spans="1:57" s="15" customFormat="1" ht="15" x14ac:dyDescent="0.3">
      <c r="A80" s="14">
        <v>25</v>
      </c>
      <c r="B80" s="14" t="s">
        <v>107</v>
      </c>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row>
    <row r="81" spans="1:57" s="15" customFormat="1" ht="15" x14ac:dyDescent="0.3">
      <c r="A81" s="14">
        <v>26</v>
      </c>
      <c r="B81" s="14" t="s">
        <v>107</v>
      </c>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row>
    <row r="82" spans="1:57" s="15" customFormat="1" ht="15" x14ac:dyDescent="0.3">
      <c r="A82" s="14">
        <v>27</v>
      </c>
      <c r="B82" s="55" t="s">
        <v>107</v>
      </c>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row>
    <row r="83" spans="1:57" s="15" customFormat="1" ht="15" x14ac:dyDescent="0.3">
      <c r="A83"/>
      <c r="AZ83" s="14"/>
      <c r="BA83" s="14"/>
      <c r="BB83" s="14"/>
      <c r="BC83" s="14"/>
      <c r="BD83" s="14"/>
      <c r="BE83" s="14"/>
    </row>
    <row r="84" spans="1:57" s="15" customFormat="1" ht="15" x14ac:dyDescent="0.3">
      <c r="AZ84" s="14"/>
      <c r="BA84" s="14"/>
      <c r="BB84" s="14"/>
      <c r="BC84" s="14"/>
      <c r="BD84" s="14"/>
      <c r="BE84" s="14"/>
    </row>
    <row r="85" spans="1:57" s="15" customFormat="1" ht="15" x14ac:dyDescent="0.3">
      <c r="A85" s="125" t="s">
        <v>49</v>
      </c>
      <c r="B85" s="130"/>
      <c r="AZ85" s="14"/>
      <c r="BA85" s="14"/>
      <c r="BB85" s="14"/>
      <c r="BC85" s="14"/>
      <c r="BD85" s="14"/>
      <c r="BE85" s="14"/>
    </row>
    <row r="86" spans="1:57" s="15" customFormat="1" ht="66" customHeight="1" x14ac:dyDescent="0.3">
      <c r="A86" s="131" t="s">
        <v>122</v>
      </c>
      <c r="B86" s="131"/>
      <c r="C86" s="131"/>
      <c r="D86" s="131"/>
      <c r="E86" s="131"/>
      <c r="F86" s="57"/>
      <c r="AZ86" s="14"/>
      <c r="BA86" s="14"/>
      <c r="BB86" s="14"/>
      <c r="BC86" s="14"/>
      <c r="BD86" s="14"/>
      <c r="BE86" s="14"/>
    </row>
    <row r="87" spans="1:57" s="15" customFormat="1" ht="15" x14ac:dyDescent="0.3">
      <c r="AZ87" s="14"/>
      <c r="BA87" s="14"/>
      <c r="BB87" s="14"/>
      <c r="BC87" s="14"/>
      <c r="BD87" s="14"/>
      <c r="BE87" s="14"/>
    </row>
    <row r="88" spans="1:57" s="15" customFormat="1" ht="15" x14ac:dyDescent="0.3">
      <c r="AZ88" s="14"/>
      <c r="BA88" s="14"/>
      <c r="BB88" s="14"/>
      <c r="BC88" s="14"/>
      <c r="BD88" s="14"/>
      <c r="BE88" s="14"/>
    </row>
    <row r="89" spans="1:57" s="15" customFormat="1" ht="15" x14ac:dyDescent="0.3">
      <c r="A89" s="125" t="s">
        <v>51</v>
      </c>
      <c r="B89" s="130"/>
      <c r="AZ89" s="14"/>
      <c r="BA89" s="14"/>
      <c r="BB89" s="14"/>
      <c r="BC89" s="14"/>
      <c r="BD89" s="14"/>
      <c r="BE89" s="14"/>
    </row>
    <row r="90" spans="1:57" s="15" customFormat="1" ht="282" customHeight="1" x14ac:dyDescent="0.3">
      <c r="A90" s="132" t="s">
        <v>123</v>
      </c>
      <c r="B90" s="133"/>
      <c r="C90" s="133"/>
      <c r="D90" s="133"/>
      <c r="E90" s="133"/>
      <c r="F90" s="32"/>
      <c r="G90" s="32"/>
      <c r="H90" s="32"/>
      <c r="I90" s="32"/>
      <c r="J90" s="32"/>
      <c r="K90" s="32"/>
      <c r="AZ90" s="14"/>
      <c r="BA90" s="14"/>
      <c r="BB90" s="14"/>
      <c r="BC90" s="14"/>
      <c r="BD90" s="14"/>
      <c r="BE90" s="14"/>
    </row>
    <row r="91" spans="1:57" s="15" customFormat="1" ht="15" x14ac:dyDescent="0.3">
      <c r="A91" s="134"/>
      <c r="B91" s="134"/>
      <c r="C91" s="134"/>
      <c r="D91" s="134"/>
      <c r="E91" s="134"/>
      <c r="F91" s="134"/>
      <c r="G91" s="134"/>
      <c r="H91" s="134"/>
      <c r="I91" s="134"/>
      <c r="J91" s="134"/>
      <c r="K91" s="134"/>
      <c r="AZ91" s="14"/>
      <c r="BA91" s="14"/>
      <c r="BB91" s="14"/>
      <c r="BC91" s="14"/>
      <c r="BD91" s="14"/>
      <c r="BE91" s="14"/>
    </row>
    <row r="92" spans="1:57" s="15" customFormat="1" ht="83" hidden="1" customHeight="1" x14ac:dyDescent="0.3">
      <c r="A92" s="134"/>
      <c r="B92" s="134"/>
      <c r="C92" s="134"/>
      <c r="D92" s="134"/>
      <c r="E92" s="134"/>
      <c r="F92" s="134"/>
      <c r="G92" s="134"/>
      <c r="H92" s="134"/>
      <c r="I92" s="134"/>
      <c r="J92" s="134"/>
      <c r="K92" s="134"/>
      <c r="AZ92" s="14"/>
      <c r="BA92" s="14"/>
      <c r="BB92" s="14"/>
      <c r="BC92" s="14"/>
      <c r="BD92" s="14"/>
      <c r="BE92" s="14"/>
    </row>
    <row r="93" spans="1:57" s="15" customFormat="1" ht="15" x14ac:dyDescent="0.3">
      <c r="A93" s="125" t="s">
        <v>53</v>
      </c>
      <c r="B93" s="130"/>
      <c r="AZ93" s="14"/>
      <c r="BA93" s="14"/>
      <c r="BB93" s="14"/>
      <c r="BC93" s="14"/>
      <c r="BD93" s="14"/>
      <c r="BE93" s="14"/>
    </row>
    <row r="94" spans="1:57" s="15" customFormat="1" ht="78" customHeight="1" x14ac:dyDescent="0.3">
      <c r="A94" s="124" t="s">
        <v>124</v>
      </c>
      <c r="B94" s="135"/>
      <c r="C94" s="135"/>
      <c r="D94" s="135"/>
      <c r="E94" s="135"/>
      <c r="F94" s="58"/>
      <c r="G94" s="58"/>
      <c r="H94" s="58"/>
      <c r="I94" s="58"/>
      <c r="J94" s="58"/>
      <c r="K94" s="58"/>
      <c r="AZ94" s="14"/>
      <c r="BA94" s="14"/>
      <c r="BB94" s="14"/>
      <c r="BC94" s="14"/>
      <c r="BD94" s="14"/>
      <c r="BE94" s="14"/>
    </row>
    <row r="95" spans="1:57" s="15" customFormat="1" ht="15" x14ac:dyDescent="0.3">
      <c r="AZ95" s="14"/>
      <c r="BA95" s="14"/>
      <c r="BB95" s="14"/>
      <c r="BC95" s="14"/>
      <c r="BD95" s="14"/>
      <c r="BE95" s="14"/>
    </row>
    <row r="96" spans="1:57" s="15" customFormat="1" ht="15" x14ac:dyDescent="0.3">
      <c r="A96" s="125" t="s">
        <v>55</v>
      </c>
      <c r="B96" s="130"/>
      <c r="AZ96" s="14"/>
      <c r="BA96" s="14"/>
      <c r="BB96" s="14"/>
      <c r="BC96" s="14"/>
      <c r="BD96" s="14"/>
      <c r="BE96" s="14"/>
    </row>
    <row r="97" spans="1:57" s="15" customFormat="1" ht="78.75" customHeight="1" x14ac:dyDescent="0.3">
      <c r="A97" s="126"/>
      <c r="B97" s="126"/>
      <c r="C97" s="126"/>
      <c r="D97" s="126"/>
      <c r="E97" s="126"/>
      <c r="F97" s="126"/>
      <c r="G97" s="126"/>
      <c r="H97" s="126"/>
      <c r="I97" s="126"/>
      <c r="J97" s="126"/>
      <c r="K97" s="126"/>
      <c r="AZ97" s="14"/>
      <c r="BA97" s="14"/>
      <c r="BB97" s="14"/>
      <c r="BC97" s="14"/>
      <c r="BD97" s="14"/>
      <c r="BE97" s="14"/>
    </row>
    <row r="98" spans="1:57" s="15" customFormat="1" ht="15" x14ac:dyDescent="0.3">
      <c r="AZ98" s="14"/>
      <c r="BA98" s="14"/>
      <c r="BB98" s="14"/>
      <c r="BC98" s="14"/>
      <c r="BD98" s="14"/>
      <c r="BE98" s="14"/>
    </row>
    <row r="101" spans="1:57" ht="168" customHeight="1" x14ac:dyDescent="0.3"/>
    <row r="104" spans="1:57" ht="15.75" customHeight="1" x14ac:dyDescent="0.3"/>
    <row r="105" spans="1:57" s="15" customFormat="1" ht="15" x14ac:dyDescent="0.3">
      <c r="AZ105" s="14"/>
      <c r="BA105" s="14"/>
      <c r="BB105" s="14"/>
      <c r="BC105" s="14"/>
      <c r="BD105" s="14"/>
      <c r="BE105" s="14"/>
    </row>
    <row r="106" spans="1:57" s="15" customFormat="1" ht="15" x14ac:dyDescent="0.3">
      <c r="AZ106" s="14"/>
      <c r="BA106" s="14"/>
      <c r="BB106" s="14"/>
      <c r="BC106" s="14"/>
      <c r="BD106" s="14"/>
      <c r="BE106" s="14"/>
    </row>
    <row r="107" spans="1:57" s="15" customFormat="1" ht="15" x14ac:dyDescent="0.3">
      <c r="AZ107" s="14"/>
      <c r="BA107" s="14"/>
      <c r="BB107" s="14"/>
      <c r="BC107" s="14"/>
      <c r="BD107" s="14"/>
      <c r="BE107" s="14"/>
    </row>
    <row r="108" spans="1:57" s="15" customFormat="1" ht="15" x14ac:dyDescent="0.3">
      <c r="AZ108" s="14"/>
      <c r="BA108" s="14"/>
      <c r="BB108" s="14"/>
      <c r="BC108" s="14"/>
      <c r="BD108" s="14"/>
      <c r="BE108" s="14"/>
    </row>
    <row r="109" spans="1:57" s="15" customFormat="1" ht="15" x14ac:dyDescent="0.3">
      <c r="AZ109" s="14"/>
      <c r="BA109" s="14"/>
      <c r="BB109" s="14"/>
      <c r="BC109" s="14"/>
      <c r="BD109" s="14"/>
      <c r="BE109" s="14"/>
    </row>
  </sheetData>
  <mergeCells count="12">
    <mergeCell ref="A97:K97"/>
    <mergeCell ref="A13:B13"/>
    <mergeCell ref="A25:B25"/>
    <mergeCell ref="A55:B55"/>
    <mergeCell ref="A85:B85"/>
    <mergeCell ref="A86:E86"/>
    <mergeCell ref="A89:B89"/>
    <mergeCell ref="A90:E90"/>
    <mergeCell ref="A91:K92"/>
    <mergeCell ref="A93:B93"/>
    <mergeCell ref="A94:E94"/>
    <mergeCell ref="A96:B96"/>
  </mergeCells>
  <hyperlinks>
    <hyperlink ref="B63" r:id="rId1"/>
    <hyperlink ref="B16" r:id="rId2"/>
  </hyperlinks>
  <pageMargins left="0.75000000000000011" right="0.75000000000000011" top="1" bottom="1" header="0.5" footer="0.5"/>
  <pageSetup orientation="portrait" horizontalDpi="4294967292" verticalDpi="4294967292"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80"/>
  <sheetViews>
    <sheetView zoomScale="80" zoomScaleNormal="80" workbookViewId="0">
      <pane xSplit="2" ySplit="2" topLeftCell="F3" activePane="bottomRight" state="frozen"/>
      <selection activeCell="A42" sqref="A42:F42"/>
      <selection pane="topRight" activeCell="A42" sqref="A42:F42"/>
      <selection pane="bottomLeft" activeCell="A42" sqref="A42:F42"/>
      <selection pane="bottomRight" activeCell="G85" sqref="G85"/>
    </sheetView>
  </sheetViews>
  <sheetFormatPr defaultColWidth="11" defaultRowHeight="13.5" x14ac:dyDescent="0.25"/>
  <cols>
    <col min="1" max="1" width="10.53515625" style="14" customWidth="1"/>
    <col min="2" max="2" width="50.53515625" style="14" customWidth="1"/>
    <col min="3" max="55" width="20.53515625" style="14" customWidth="1"/>
    <col min="56" max="56" width="11.61328125" style="14" bestFit="1" customWidth="1"/>
    <col min="57" max="16384" width="11" style="14"/>
  </cols>
  <sheetData>
    <row r="1" spans="1:56" s="3" customFormat="1" ht="18" thickBot="1" x14ac:dyDescent="0.4">
      <c r="A1" s="2" t="s">
        <v>125</v>
      </c>
      <c r="B1" s="2"/>
      <c r="C1" s="2"/>
      <c r="D1" s="2"/>
      <c r="E1" s="2"/>
    </row>
    <row r="2" spans="1:56" s="7" customFormat="1" ht="14" thickTop="1" x14ac:dyDescent="0.25">
      <c r="B2" s="6" t="s">
        <v>57</v>
      </c>
      <c r="C2" s="7">
        <v>1960</v>
      </c>
      <c r="D2" s="7">
        <v>1961</v>
      </c>
      <c r="E2" s="7">
        <v>1962</v>
      </c>
      <c r="F2" s="7">
        <v>1963</v>
      </c>
      <c r="G2" s="7">
        <v>1964</v>
      </c>
      <c r="H2" s="7">
        <v>1965</v>
      </c>
      <c r="I2" s="7">
        <v>1966</v>
      </c>
      <c r="J2" s="7">
        <v>1967</v>
      </c>
      <c r="K2" s="7">
        <v>1968</v>
      </c>
      <c r="L2" s="7">
        <v>1969</v>
      </c>
      <c r="M2" s="7">
        <v>1970</v>
      </c>
      <c r="N2" s="7">
        <v>1971</v>
      </c>
      <c r="O2" s="7">
        <v>1972</v>
      </c>
      <c r="P2" s="7">
        <v>1973</v>
      </c>
      <c r="Q2" s="7">
        <v>1974</v>
      </c>
      <c r="R2" s="7">
        <v>1975</v>
      </c>
      <c r="S2" s="7">
        <v>1976</v>
      </c>
      <c r="T2" s="7">
        <v>1977</v>
      </c>
      <c r="U2" s="7">
        <v>1978</v>
      </c>
      <c r="V2" s="7">
        <v>1979</v>
      </c>
      <c r="W2" s="7">
        <v>1980</v>
      </c>
      <c r="X2" s="7">
        <v>1981</v>
      </c>
      <c r="Y2" s="7">
        <v>1982</v>
      </c>
      <c r="Z2" s="7">
        <v>1983</v>
      </c>
      <c r="AA2" s="7">
        <v>1984</v>
      </c>
      <c r="AB2" s="7">
        <v>1985</v>
      </c>
      <c r="AC2" s="7">
        <v>1986</v>
      </c>
      <c r="AD2" s="7">
        <v>1987</v>
      </c>
      <c r="AE2" s="7">
        <v>1988</v>
      </c>
      <c r="AF2" s="7">
        <v>1989</v>
      </c>
      <c r="AG2" s="7">
        <v>1990</v>
      </c>
      <c r="AH2" s="7">
        <v>1991</v>
      </c>
      <c r="AI2" s="7">
        <v>1992</v>
      </c>
      <c r="AJ2" s="7">
        <v>1993</v>
      </c>
      <c r="AK2" s="7">
        <v>1994</v>
      </c>
      <c r="AL2" s="7">
        <v>1995</v>
      </c>
      <c r="AM2" s="7">
        <v>1996</v>
      </c>
      <c r="AN2" s="7">
        <v>1997</v>
      </c>
      <c r="AO2" s="7">
        <v>1998</v>
      </c>
      <c r="AP2" s="7">
        <v>1999</v>
      </c>
      <c r="AQ2" s="7">
        <v>2000</v>
      </c>
      <c r="AR2" s="7">
        <v>2001</v>
      </c>
      <c r="AS2" s="7">
        <v>2002</v>
      </c>
      <c r="AT2" s="7">
        <v>2003</v>
      </c>
      <c r="AU2" s="7">
        <v>2004</v>
      </c>
      <c r="AV2" s="7">
        <v>2005</v>
      </c>
      <c r="AW2" s="7">
        <v>2006</v>
      </c>
      <c r="AX2" s="7">
        <v>2007</v>
      </c>
      <c r="AY2" s="7">
        <v>2008</v>
      </c>
      <c r="AZ2" s="7">
        <v>2009</v>
      </c>
      <c r="BA2" s="7">
        <v>2010</v>
      </c>
      <c r="BB2" s="7">
        <v>2011</v>
      </c>
      <c r="BC2" s="7">
        <v>2012</v>
      </c>
      <c r="BD2" s="7">
        <v>2013</v>
      </c>
    </row>
    <row r="3" spans="1:56" s="59" customFormat="1" x14ac:dyDescent="0.25">
      <c r="A3" s="13">
        <v>1</v>
      </c>
      <c r="B3" s="59" t="s">
        <v>126</v>
      </c>
      <c r="C3" s="60">
        <f t="shared" ref="C3:BD7" si="0">C32</f>
        <v>0.49370659737</v>
      </c>
      <c r="D3" s="60">
        <f t="shared" si="0"/>
        <v>0.44771443269</v>
      </c>
      <c r="E3" s="60">
        <f t="shared" si="0"/>
        <v>0.54088091035999997</v>
      </c>
      <c r="F3" s="60">
        <f t="shared" si="0"/>
        <v>0.61375580854</v>
      </c>
      <c r="G3" s="60">
        <f t="shared" si="0"/>
        <v>0.69867003291999996</v>
      </c>
      <c r="H3" s="60">
        <f t="shared" si="0"/>
        <v>0.76423364018000006</v>
      </c>
      <c r="I3" s="60">
        <f t="shared" si="0"/>
        <v>0.84922244153999993</v>
      </c>
      <c r="J3" s="60">
        <f t="shared" si="0"/>
        <v>1.0341479445699999</v>
      </c>
      <c r="K3" s="60">
        <f t="shared" si="0"/>
        <v>1.27688479512</v>
      </c>
      <c r="L3" s="60">
        <f t="shared" si="0"/>
        <v>1.2867459641799999</v>
      </c>
      <c r="M3" s="60">
        <f t="shared" si="0"/>
        <v>1.2947000215</v>
      </c>
      <c r="N3" s="60">
        <f t="shared" si="0"/>
        <v>1.5067735143900001</v>
      </c>
      <c r="O3" s="60">
        <f t="shared" si="0"/>
        <v>1.6627253500099999</v>
      </c>
      <c r="P3" s="60">
        <f t="shared" si="0"/>
        <v>1.56366652348</v>
      </c>
      <c r="Q3" s="60">
        <f t="shared" si="0"/>
        <v>1.67594322094</v>
      </c>
      <c r="R3" s="60">
        <f t="shared" si="0"/>
        <v>1.5735750042899999</v>
      </c>
      <c r="S3" s="60">
        <f t="shared" si="0"/>
        <v>1.3439619428899998</v>
      </c>
      <c r="T3" s="60">
        <f t="shared" si="0"/>
        <v>1.3353246408900001</v>
      </c>
      <c r="U3" s="60">
        <f t="shared" si="0"/>
        <v>1.3654073439299999</v>
      </c>
      <c r="V3" s="60">
        <f t="shared" si="0"/>
        <v>1.5776548672100001</v>
      </c>
      <c r="W3" s="60">
        <f t="shared" si="0"/>
        <v>1.59609457524</v>
      </c>
      <c r="X3" s="60">
        <f t="shared" si="0"/>
        <v>1.6578601589299999</v>
      </c>
      <c r="Y3" s="60">
        <f t="shared" si="0"/>
        <v>1.6417092434</v>
      </c>
      <c r="Z3" s="60">
        <f t="shared" si="0"/>
        <v>1.4434459722299999</v>
      </c>
      <c r="AA3" s="60">
        <f t="shared" si="0"/>
        <v>1.4381322345800001</v>
      </c>
      <c r="AB3" s="60">
        <f t="shared" si="0"/>
        <v>1.4727453269500002</v>
      </c>
      <c r="AC3" s="60">
        <f t="shared" si="0"/>
        <v>1.6308840098500001</v>
      </c>
      <c r="AD3" s="60">
        <f t="shared" si="0"/>
        <v>1.71803196453</v>
      </c>
      <c r="AE3" s="60">
        <f t="shared" si="0"/>
        <v>1.7642483962000002</v>
      </c>
      <c r="AF3" s="60">
        <f t="shared" si="0"/>
        <v>1.9867523410000001</v>
      </c>
      <c r="AG3" s="60">
        <f t="shared" si="0"/>
        <v>2.1008167042700001</v>
      </c>
      <c r="AH3" s="60">
        <f t="shared" si="0"/>
        <v>2.1762689279000003</v>
      </c>
      <c r="AI3" s="60">
        <f t="shared" si="0"/>
        <v>2.2642827001300003</v>
      </c>
      <c r="AJ3" s="60">
        <f t="shared" si="0"/>
        <v>2.33460138436</v>
      </c>
      <c r="AK3" s="60">
        <f t="shared" si="0"/>
        <v>2.1980750969400003</v>
      </c>
      <c r="AL3" s="60">
        <f t="shared" si="0"/>
        <v>2.2603529581000004</v>
      </c>
      <c r="AM3" s="60">
        <f t="shared" si="0"/>
        <v>2.1954873662000001</v>
      </c>
      <c r="AN3" s="60">
        <f t="shared" si="0"/>
        <v>1.9259202464</v>
      </c>
      <c r="AO3" s="60">
        <f t="shared" si="0"/>
        <v>1.906710288</v>
      </c>
      <c r="AP3" s="60">
        <f t="shared" si="0"/>
        <v>1.84202177904</v>
      </c>
      <c r="AQ3" s="60">
        <f t="shared" si="0"/>
        <v>1.7230198173700002</v>
      </c>
      <c r="AR3" s="60">
        <f t="shared" si="0"/>
        <v>1.8091200122199997</v>
      </c>
      <c r="AS3" s="60">
        <f t="shared" si="0"/>
        <v>1.9490610150599998</v>
      </c>
      <c r="AT3" s="60">
        <f t="shared" si="0"/>
        <v>1.906546506</v>
      </c>
      <c r="AU3" s="60">
        <f t="shared" si="0"/>
        <v>1.8899447275800001</v>
      </c>
      <c r="AV3" s="60">
        <f t="shared" si="0"/>
        <v>1.9479662173800001</v>
      </c>
      <c r="AW3" s="60">
        <f t="shared" si="0"/>
        <v>1.9039649494699997</v>
      </c>
      <c r="AX3" s="60">
        <f t="shared" si="0"/>
        <v>1.8906517573800001</v>
      </c>
      <c r="AY3" s="60">
        <f t="shared" si="0"/>
        <v>1.7356156153500002</v>
      </c>
      <c r="AZ3" s="60">
        <f t="shared" si="0"/>
        <v>1.5733574255</v>
      </c>
      <c r="BA3" s="60">
        <f t="shared" si="0"/>
        <v>1.52121317758</v>
      </c>
      <c r="BB3" s="60">
        <f t="shared" si="0"/>
        <v>1.4189202831499999</v>
      </c>
      <c r="BC3" s="60">
        <f t="shared" si="0"/>
        <v>1.34645883566</v>
      </c>
      <c r="BD3" s="60">
        <f t="shared" si="0"/>
        <v>1.36397153618</v>
      </c>
    </row>
    <row r="4" spans="1:56" x14ac:dyDescent="0.25">
      <c r="A4" s="14">
        <v>2</v>
      </c>
      <c r="B4" s="14" t="s">
        <v>127</v>
      </c>
      <c r="C4" s="51">
        <f t="shared" si="0"/>
        <v>168</v>
      </c>
      <c r="D4" s="51">
        <f t="shared" si="0"/>
        <v>143</v>
      </c>
      <c r="E4" s="51">
        <f t="shared" si="0"/>
        <v>183</v>
      </c>
      <c r="F4" s="51">
        <f t="shared" si="0"/>
        <v>207</v>
      </c>
      <c r="G4" s="51">
        <f t="shared" si="0"/>
        <v>229</v>
      </c>
      <c r="H4" s="51">
        <f t="shared" si="0"/>
        <v>236</v>
      </c>
      <c r="I4" s="51">
        <f t="shared" si="0"/>
        <v>254</v>
      </c>
      <c r="J4" s="51">
        <f t="shared" si="0"/>
        <v>293</v>
      </c>
      <c r="K4" s="51">
        <f t="shared" si="0"/>
        <v>350</v>
      </c>
      <c r="L4" s="51">
        <f t="shared" si="0"/>
        <v>350</v>
      </c>
      <c r="M4" s="51">
        <f t="shared" si="0"/>
        <v>362</v>
      </c>
      <c r="N4" s="51">
        <f t="shared" si="0"/>
        <v>449</v>
      </c>
      <c r="O4" s="51">
        <f t="shared" si="0"/>
        <v>509</v>
      </c>
      <c r="P4" s="51">
        <f t="shared" si="0"/>
        <v>460</v>
      </c>
      <c r="Q4" s="51">
        <f t="shared" si="0"/>
        <v>481</v>
      </c>
      <c r="R4" s="51">
        <f t="shared" si="0"/>
        <v>437</v>
      </c>
      <c r="S4" s="51">
        <f t="shared" si="0"/>
        <v>352</v>
      </c>
      <c r="T4" s="51">
        <f t="shared" si="0"/>
        <v>333</v>
      </c>
      <c r="U4" s="51">
        <f t="shared" si="0"/>
        <v>338</v>
      </c>
      <c r="V4" s="51">
        <f t="shared" si="0"/>
        <v>406</v>
      </c>
      <c r="W4" s="51">
        <f t="shared" si="0"/>
        <v>399</v>
      </c>
      <c r="X4" s="51">
        <f t="shared" si="0"/>
        <v>421</v>
      </c>
      <c r="Y4" s="51">
        <f t="shared" si="0"/>
        <v>432</v>
      </c>
      <c r="Z4" s="51">
        <f t="shared" si="0"/>
        <v>367</v>
      </c>
      <c r="AA4" s="51">
        <f t="shared" si="0"/>
        <v>354</v>
      </c>
      <c r="AB4" s="51">
        <f t="shared" si="0"/>
        <v>350</v>
      </c>
      <c r="AC4" s="51">
        <f t="shared" si="0"/>
        <v>399</v>
      </c>
      <c r="AD4" s="51">
        <f t="shared" si="0"/>
        <v>444</v>
      </c>
      <c r="AE4" s="51">
        <f t="shared" si="0"/>
        <v>452</v>
      </c>
      <c r="AF4" s="51">
        <f t="shared" si="0"/>
        <v>540</v>
      </c>
      <c r="AG4" s="51">
        <f t="shared" si="0"/>
        <v>553</v>
      </c>
      <c r="AH4" s="51">
        <f t="shared" si="0"/>
        <v>569</v>
      </c>
      <c r="AI4" s="51">
        <f t="shared" si="0"/>
        <v>596</v>
      </c>
      <c r="AJ4" s="51">
        <f t="shared" si="0"/>
        <v>632</v>
      </c>
      <c r="AK4" s="51">
        <f t="shared" si="0"/>
        <v>579</v>
      </c>
      <c r="AL4" s="51">
        <f t="shared" si="0"/>
        <v>596</v>
      </c>
      <c r="AM4" s="51">
        <f t="shared" si="0"/>
        <v>588</v>
      </c>
      <c r="AN4" s="51">
        <f t="shared" si="0"/>
        <v>501</v>
      </c>
      <c r="AO4" s="51">
        <f t="shared" si="0"/>
        <v>511</v>
      </c>
      <c r="AP4" s="51">
        <f t="shared" si="0"/>
        <v>492</v>
      </c>
      <c r="AQ4" s="51">
        <f t="shared" si="0"/>
        <v>438</v>
      </c>
      <c r="AR4" s="51">
        <f t="shared" si="0"/>
        <v>463</v>
      </c>
      <c r="AS4" s="51">
        <f t="shared" si="0"/>
        <v>528</v>
      </c>
      <c r="AT4" s="51">
        <f t="shared" si="0"/>
        <v>525</v>
      </c>
      <c r="AU4" s="51">
        <f t="shared" si="0"/>
        <v>521</v>
      </c>
      <c r="AV4" s="51">
        <f t="shared" si="0"/>
        <v>552</v>
      </c>
      <c r="AW4" s="51">
        <f t="shared" si="0"/>
        <v>547</v>
      </c>
      <c r="AX4" s="51">
        <f t="shared" si="0"/>
        <v>553</v>
      </c>
      <c r="AY4" s="51">
        <f t="shared" si="0"/>
        <v>493</v>
      </c>
      <c r="AZ4" s="51">
        <f t="shared" si="0"/>
        <v>440</v>
      </c>
      <c r="BA4" s="51">
        <f t="shared" si="0"/>
        <v>426</v>
      </c>
      <c r="BB4" s="51">
        <f t="shared" si="0"/>
        <v>398</v>
      </c>
      <c r="BC4" s="51">
        <f t="shared" si="0"/>
        <v>372</v>
      </c>
      <c r="BD4" s="51">
        <f t="shared" si="0"/>
        <v>387</v>
      </c>
    </row>
    <row r="5" spans="1:56" x14ac:dyDescent="0.25">
      <c r="A5" s="14">
        <v>3</v>
      </c>
      <c r="B5" s="14" t="s">
        <v>128</v>
      </c>
      <c r="C5" s="51">
        <f t="shared" si="0"/>
        <v>224</v>
      </c>
      <c r="D5" s="51">
        <f t="shared" si="0"/>
        <v>262</v>
      </c>
      <c r="E5" s="51">
        <f t="shared" si="0"/>
        <v>279</v>
      </c>
      <c r="F5" s="51">
        <f t="shared" si="0"/>
        <v>308</v>
      </c>
      <c r="G5" s="51">
        <f t="shared" si="0"/>
        <v>346</v>
      </c>
      <c r="H5" s="51">
        <f t="shared" si="0"/>
        <v>489</v>
      </c>
      <c r="I5" s="51">
        <f t="shared" si="0"/>
        <v>554</v>
      </c>
      <c r="J5" s="51">
        <f t="shared" si="0"/>
        <v>720</v>
      </c>
      <c r="K5" s="51">
        <f t="shared" si="0"/>
        <v>978</v>
      </c>
      <c r="L5" s="51">
        <f t="shared" si="0"/>
        <v>1125</v>
      </c>
      <c r="M5" s="51">
        <f t="shared" si="0"/>
        <v>936</v>
      </c>
      <c r="N5" s="51">
        <f t="shared" si="0"/>
        <v>997</v>
      </c>
      <c r="O5" s="51">
        <f t="shared" si="0"/>
        <v>1053</v>
      </c>
      <c r="P5" s="51">
        <f t="shared" si="0"/>
        <v>1131</v>
      </c>
      <c r="Q5" s="51">
        <f t="shared" si="0"/>
        <v>1219</v>
      </c>
      <c r="R5" s="51">
        <f t="shared" si="0"/>
        <v>1289</v>
      </c>
      <c r="S5" s="51">
        <f t="shared" si="0"/>
        <v>1327</v>
      </c>
      <c r="T5" s="51">
        <f t="shared" si="0"/>
        <v>1439</v>
      </c>
      <c r="U5" s="51">
        <f t="shared" si="0"/>
        <v>1476</v>
      </c>
      <c r="V5" s="51">
        <f t="shared" si="0"/>
        <v>1636</v>
      </c>
      <c r="W5" s="51">
        <f t="shared" si="0"/>
        <v>1681</v>
      </c>
      <c r="X5" s="51">
        <f t="shared" si="0"/>
        <v>1654</v>
      </c>
      <c r="Y5" s="51">
        <f t="shared" si="0"/>
        <v>1596</v>
      </c>
      <c r="Z5" s="51">
        <f t="shared" si="0"/>
        <v>1412</v>
      </c>
      <c r="AA5" s="51">
        <f t="shared" si="0"/>
        <v>1640</v>
      </c>
      <c r="AB5" s="51">
        <f t="shared" si="0"/>
        <v>1711</v>
      </c>
      <c r="AC5" s="51">
        <f t="shared" si="0"/>
        <v>1947</v>
      </c>
      <c r="AD5" s="51">
        <f t="shared" si="0"/>
        <v>1894</v>
      </c>
      <c r="AE5" s="51">
        <f t="shared" si="0"/>
        <v>1721</v>
      </c>
      <c r="AF5" s="51">
        <f t="shared" si="0"/>
        <v>1783</v>
      </c>
      <c r="AG5" s="51">
        <f t="shared" si="0"/>
        <v>2185</v>
      </c>
      <c r="AH5" s="51">
        <f t="shared" si="0"/>
        <v>2229</v>
      </c>
      <c r="AI5" s="51">
        <f t="shared" si="0"/>
        <v>2280</v>
      </c>
      <c r="AJ5" s="51">
        <f t="shared" si="0"/>
        <v>2185</v>
      </c>
      <c r="AK5" s="51">
        <f t="shared" si="0"/>
        <v>2037</v>
      </c>
      <c r="AL5" s="51">
        <f t="shared" si="0"/>
        <v>2130</v>
      </c>
      <c r="AM5" s="51">
        <f t="shared" si="0"/>
        <v>1907</v>
      </c>
      <c r="AN5" s="51">
        <f t="shared" si="0"/>
        <v>1813</v>
      </c>
      <c r="AO5" s="51">
        <f t="shared" si="0"/>
        <v>1707</v>
      </c>
      <c r="AP5" s="51">
        <f t="shared" si="0"/>
        <v>1482</v>
      </c>
      <c r="AQ5" s="51">
        <f t="shared" si="0"/>
        <v>1508</v>
      </c>
      <c r="AR5" s="51">
        <f t="shared" si="0"/>
        <v>1453</v>
      </c>
      <c r="AS5" s="51">
        <f t="shared" si="0"/>
        <v>1364</v>
      </c>
      <c r="AT5" s="51">
        <f t="shared" si="0"/>
        <v>1345</v>
      </c>
      <c r="AU5" s="51">
        <f t="shared" si="0"/>
        <v>1316</v>
      </c>
      <c r="AV5" s="51">
        <f t="shared" si="0"/>
        <v>1266</v>
      </c>
      <c r="AW5" s="51">
        <f t="shared" si="0"/>
        <v>1178</v>
      </c>
      <c r="AX5" s="51">
        <f t="shared" si="0"/>
        <v>1179</v>
      </c>
      <c r="AY5" s="51">
        <f t="shared" si="0"/>
        <v>1127</v>
      </c>
      <c r="AZ5" s="51">
        <f t="shared" si="0"/>
        <v>1156</v>
      </c>
      <c r="BA5" s="51">
        <f t="shared" si="0"/>
        <v>1228</v>
      </c>
      <c r="BB5" s="51">
        <f t="shared" si="0"/>
        <v>1196</v>
      </c>
      <c r="BC5" s="51">
        <f t="shared" si="0"/>
        <v>1236</v>
      </c>
      <c r="BD5" s="51">
        <f t="shared" si="0"/>
        <v>1169</v>
      </c>
    </row>
    <row r="6" spans="1:56" x14ac:dyDescent="0.25">
      <c r="A6" s="14">
        <v>4</v>
      </c>
      <c r="B6" s="14" t="s">
        <v>129</v>
      </c>
      <c r="C6" s="51">
        <f t="shared" si="0"/>
        <v>1158</v>
      </c>
      <c r="D6" s="51">
        <f t="shared" si="0"/>
        <v>1330</v>
      </c>
      <c r="E6" s="51">
        <f t="shared" si="0"/>
        <v>1340</v>
      </c>
      <c r="F6" s="51">
        <f t="shared" si="0"/>
        <v>1721</v>
      </c>
      <c r="G6" s="51">
        <f t="shared" si="0"/>
        <v>2041</v>
      </c>
      <c r="H6" s="51">
        <f t="shared" si="0"/>
        <v>2919</v>
      </c>
      <c r="I6" s="51">
        <f t="shared" si="0"/>
        <v>4470</v>
      </c>
      <c r="J6" s="51">
        <f t="shared" si="0"/>
        <v>7809</v>
      </c>
      <c r="K6" s="51">
        <f t="shared" si="0"/>
        <v>10355</v>
      </c>
      <c r="L6" s="51">
        <f t="shared" si="0"/>
        <v>11086</v>
      </c>
      <c r="M6" s="51">
        <f t="shared" si="0"/>
        <v>13280</v>
      </c>
      <c r="N6" s="51">
        <f t="shared" si="0"/>
        <v>13015</v>
      </c>
      <c r="O6" s="51">
        <f t="shared" si="0"/>
        <v>13144</v>
      </c>
      <c r="P6" s="51">
        <f t="shared" si="0"/>
        <v>12274</v>
      </c>
      <c r="Q6" s="51">
        <f t="shared" si="0"/>
        <v>14765</v>
      </c>
      <c r="R6" s="51">
        <f t="shared" si="0"/>
        <v>14107</v>
      </c>
      <c r="S6" s="51">
        <f t="shared" si="0"/>
        <v>12247</v>
      </c>
      <c r="T6" s="51">
        <f t="shared" si="0"/>
        <v>12088</v>
      </c>
      <c r="U6" s="51">
        <f t="shared" si="0"/>
        <v>12828</v>
      </c>
      <c r="V6" s="51">
        <f t="shared" si="0"/>
        <v>13740</v>
      </c>
      <c r="W6" s="51">
        <f t="shared" si="0"/>
        <v>16461</v>
      </c>
      <c r="X6" s="51">
        <f t="shared" si="0"/>
        <v>18085</v>
      </c>
      <c r="Y6" s="51">
        <f t="shared" si="0"/>
        <v>15377</v>
      </c>
      <c r="Z6" s="51">
        <f t="shared" si="0"/>
        <v>14950</v>
      </c>
      <c r="AA6" s="51">
        <f t="shared" si="0"/>
        <v>13097</v>
      </c>
      <c r="AB6" s="51">
        <f t="shared" si="0"/>
        <v>13276</v>
      </c>
      <c r="AC6" s="51">
        <f t="shared" si="0"/>
        <v>13570</v>
      </c>
      <c r="AD6" s="51">
        <f t="shared" si="0"/>
        <v>13363</v>
      </c>
      <c r="AE6" s="51">
        <f t="shared" si="0"/>
        <v>13991</v>
      </c>
      <c r="AF6" s="51">
        <f t="shared" si="0"/>
        <v>15584</v>
      </c>
      <c r="AG6" s="51">
        <f t="shared" si="0"/>
        <v>17393</v>
      </c>
      <c r="AH6" s="51">
        <f t="shared" si="0"/>
        <v>19781</v>
      </c>
      <c r="AI6" s="51">
        <f t="shared" si="0"/>
        <v>21054</v>
      </c>
      <c r="AJ6" s="51">
        <f t="shared" si="0"/>
        <v>21580</v>
      </c>
      <c r="AK6" s="51">
        <f t="shared" si="0"/>
        <v>20146</v>
      </c>
      <c r="AL6" s="51">
        <f t="shared" si="0"/>
        <v>21331</v>
      </c>
      <c r="AM6" s="51">
        <f t="shared" si="0"/>
        <v>19935</v>
      </c>
      <c r="AN6" s="51">
        <f t="shared" si="0"/>
        <v>17158</v>
      </c>
      <c r="AO6" s="51">
        <f t="shared" si="0"/>
        <v>15303</v>
      </c>
      <c r="AP6" s="51">
        <f t="shared" si="0"/>
        <v>14124</v>
      </c>
      <c r="AQ6" s="51">
        <f t="shared" si="0"/>
        <v>13707</v>
      </c>
      <c r="AR6" s="51">
        <f t="shared" si="0"/>
        <v>14252</v>
      </c>
      <c r="AS6" s="51">
        <f t="shared" si="0"/>
        <v>13687</v>
      </c>
      <c r="AT6" s="51">
        <f t="shared" si="0"/>
        <v>13302</v>
      </c>
      <c r="AU6" s="51">
        <f t="shared" si="0"/>
        <v>12761</v>
      </c>
      <c r="AV6" s="51">
        <f t="shared" si="0"/>
        <v>14378</v>
      </c>
      <c r="AW6" s="51">
        <f t="shared" si="0"/>
        <v>14375</v>
      </c>
      <c r="AX6" s="51">
        <f t="shared" si="0"/>
        <v>13258</v>
      </c>
      <c r="AY6" s="51">
        <f t="shared" si="0"/>
        <v>13203</v>
      </c>
      <c r="AZ6" s="51">
        <f t="shared" si="0"/>
        <v>12007</v>
      </c>
      <c r="BA6" s="51">
        <f t="shared" si="0"/>
        <v>11053</v>
      </c>
      <c r="BB6" s="51">
        <f t="shared" si="0"/>
        <v>10338</v>
      </c>
      <c r="BC6" s="51">
        <f t="shared" si="0"/>
        <v>10171</v>
      </c>
      <c r="BD6" s="51">
        <f t="shared" si="0"/>
        <v>10082</v>
      </c>
    </row>
    <row r="7" spans="1:56" x14ac:dyDescent="0.25">
      <c r="A7" s="14">
        <v>5</v>
      </c>
      <c r="B7" s="14" t="s">
        <v>130</v>
      </c>
      <c r="C7" s="51">
        <f t="shared" si="0"/>
        <v>3141</v>
      </c>
      <c r="D7" s="51">
        <f t="shared" si="0"/>
        <v>3224</v>
      </c>
      <c r="E7" s="51">
        <f t="shared" si="0"/>
        <v>3113</v>
      </c>
      <c r="F7" s="51">
        <f t="shared" si="0"/>
        <v>3047</v>
      </c>
      <c r="G7" s="51">
        <f t="shared" si="0"/>
        <v>4830</v>
      </c>
      <c r="H7" s="51">
        <f t="shared" si="0"/>
        <v>6388</v>
      </c>
      <c r="I7" s="51">
        <f t="shared" si="0"/>
        <v>5958</v>
      </c>
      <c r="J7" s="51">
        <f t="shared" si="0"/>
        <v>8636</v>
      </c>
      <c r="K7" s="51">
        <f t="shared" si="0"/>
        <v>11722</v>
      </c>
      <c r="L7" s="51">
        <f t="shared" si="0"/>
        <v>11734</v>
      </c>
      <c r="M7" s="51">
        <f t="shared" si="0"/>
        <v>9934</v>
      </c>
      <c r="N7" s="51">
        <f t="shared" si="0"/>
        <v>10396</v>
      </c>
      <c r="O7" s="51">
        <f t="shared" si="0"/>
        <v>11706</v>
      </c>
      <c r="P7" s="51">
        <f t="shared" si="0"/>
        <v>12228</v>
      </c>
      <c r="Q7" s="51">
        <f t="shared" si="0"/>
        <v>12974</v>
      </c>
      <c r="R7" s="51">
        <f t="shared" si="0"/>
        <v>13254</v>
      </c>
      <c r="S7" s="51">
        <f t="shared" si="0"/>
        <v>12323</v>
      </c>
      <c r="T7" s="51">
        <f t="shared" si="0"/>
        <v>14856</v>
      </c>
      <c r="U7" s="51">
        <f t="shared" si="0"/>
        <v>15686</v>
      </c>
      <c r="V7" s="51">
        <f t="shared" si="0"/>
        <v>17225</v>
      </c>
      <c r="W7" s="51">
        <f t="shared" si="0"/>
        <v>17194</v>
      </c>
      <c r="X7" s="51">
        <f t="shared" si="0"/>
        <v>17640</v>
      </c>
      <c r="Y7" s="51">
        <f t="shared" si="0"/>
        <v>18849</v>
      </c>
      <c r="Z7" s="51">
        <f t="shared" si="0"/>
        <v>18007</v>
      </c>
      <c r="AA7" s="51">
        <f t="shared" si="0"/>
        <v>19364</v>
      </c>
      <c r="AB7" s="51">
        <f t="shared" si="0"/>
        <v>21425</v>
      </c>
      <c r="AC7" s="51">
        <f t="shared" si="0"/>
        <v>21226</v>
      </c>
      <c r="AD7" s="51">
        <f t="shared" si="0"/>
        <v>19597</v>
      </c>
      <c r="AE7" s="51">
        <f t="shared" si="0"/>
        <v>21290</v>
      </c>
      <c r="AF7" s="51">
        <f t="shared" si="0"/>
        <v>22206</v>
      </c>
      <c r="AG7" s="51">
        <f t="shared" si="0"/>
        <v>23837</v>
      </c>
      <c r="AH7" s="51">
        <f t="shared" si="0"/>
        <v>23846</v>
      </c>
      <c r="AI7" s="51">
        <f t="shared" si="0"/>
        <v>25110</v>
      </c>
      <c r="AJ7" s="51">
        <f t="shared" si="0"/>
        <v>25161</v>
      </c>
      <c r="AK7" s="51">
        <f t="shared" si="0"/>
        <v>24692</v>
      </c>
      <c r="AL7" s="51">
        <f t="shared" si="0"/>
        <v>25699</v>
      </c>
      <c r="AM7" s="51">
        <f t="shared" si="0"/>
        <v>24798</v>
      </c>
      <c r="AN7" s="51">
        <f t="shared" si="0"/>
        <v>23614</v>
      </c>
      <c r="AO7" s="51">
        <f t="shared" si="0"/>
        <v>23260</v>
      </c>
      <c r="AP7" s="51">
        <f t="shared" ref="AP7:BD10" si="1">AP36</f>
        <v>26105</v>
      </c>
      <c r="AQ7" s="51">
        <f t="shared" si="1"/>
        <v>26201</v>
      </c>
      <c r="AR7" s="51">
        <f t="shared" si="1"/>
        <v>26748</v>
      </c>
      <c r="AS7" s="51">
        <f t="shared" si="1"/>
        <v>26709</v>
      </c>
      <c r="AT7" s="51">
        <f t="shared" si="1"/>
        <v>23593</v>
      </c>
      <c r="AU7" s="51">
        <f t="shared" si="1"/>
        <v>24339</v>
      </c>
      <c r="AV7" s="51">
        <f t="shared" si="1"/>
        <v>23173</v>
      </c>
      <c r="AW7" s="51">
        <f t="shared" si="1"/>
        <v>22011</v>
      </c>
      <c r="AX7" s="51">
        <f t="shared" si="1"/>
        <v>21074</v>
      </c>
      <c r="AY7" s="51">
        <f t="shared" si="1"/>
        <v>20571</v>
      </c>
      <c r="AZ7" s="51">
        <f t="shared" si="1"/>
        <v>20023</v>
      </c>
      <c r="BA7" s="51">
        <f t="shared" si="1"/>
        <v>18898</v>
      </c>
      <c r="BB7" s="51">
        <f t="shared" si="1"/>
        <v>16866</v>
      </c>
      <c r="BC7" s="51">
        <f t="shared" si="1"/>
        <v>16300</v>
      </c>
      <c r="BD7" s="51">
        <f t="shared" si="1"/>
        <v>16082</v>
      </c>
    </row>
    <row r="8" spans="1:56" x14ac:dyDescent="0.25">
      <c r="A8" s="14">
        <v>6</v>
      </c>
      <c r="B8" s="14" t="s">
        <v>131</v>
      </c>
      <c r="C8" s="51">
        <f t="shared" ref="C8:BC10" si="2">C37</f>
        <v>11360</v>
      </c>
      <c r="D8" s="51">
        <f t="shared" si="2"/>
        <v>12348</v>
      </c>
      <c r="E8" s="51">
        <f t="shared" si="2"/>
        <v>12886</v>
      </c>
      <c r="F8" s="51">
        <f t="shared" si="2"/>
        <v>15968</v>
      </c>
      <c r="G8" s="51">
        <f t="shared" si="2"/>
        <v>18735</v>
      </c>
      <c r="H8" s="51">
        <f t="shared" si="2"/>
        <v>22474</v>
      </c>
      <c r="I8" s="51">
        <f t="shared" si="2"/>
        <v>27254</v>
      </c>
      <c r="J8" s="51">
        <f t="shared" si="2"/>
        <v>37366</v>
      </c>
      <c r="K8" s="51">
        <f t="shared" si="2"/>
        <v>48886</v>
      </c>
      <c r="L8" s="51">
        <f t="shared" si="2"/>
        <v>41970</v>
      </c>
      <c r="M8" s="51">
        <f t="shared" si="2"/>
        <v>41234</v>
      </c>
      <c r="N8" s="51">
        <f t="shared" si="2"/>
        <v>44900</v>
      </c>
      <c r="O8" s="51">
        <f t="shared" si="2"/>
        <v>45090</v>
      </c>
      <c r="P8" s="51">
        <f t="shared" si="2"/>
        <v>46584</v>
      </c>
      <c r="Q8" s="51">
        <f t="shared" si="2"/>
        <v>57433</v>
      </c>
      <c r="R8" s="51">
        <f t="shared" si="2"/>
        <v>57912</v>
      </c>
      <c r="S8" s="51">
        <f t="shared" si="2"/>
        <v>56356</v>
      </c>
      <c r="T8" s="51">
        <f t="shared" si="2"/>
        <v>57946</v>
      </c>
      <c r="U8" s="51">
        <f t="shared" si="2"/>
        <v>58907</v>
      </c>
      <c r="V8" s="51">
        <f t="shared" si="2"/>
        <v>62630</v>
      </c>
      <c r="W8" s="51">
        <f t="shared" si="2"/>
        <v>71183</v>
      </c>
      <c r="X8" s="51">
        <f t="shared" si="2"/>
        <v>70740</v>
      </c>
      <c r="Y8" s="51">
        <f t="shared" si="2"/>
        <v>60547</v>
      </c>
      <c r="Z8" s="51">
        <f t="shared" si="2"/>
        <v>52697</v>
      </c>
      <c r="AA8" s="51">
        <f t="shared" si="2"/>
        <v>51484</v>
      </c>
      <c r="AB8" s="51">
        <f t="shared" si="2"/>
        <v>53168</v>
      </c>
      <c r="AC8" s="51">
        <f t="shared" si="2"/>
        <v>55596</v>
      </c>
      <c r="AD8" s="51">
        <f t="shared" si="2"/>
        <v>53226</v>
      </c>
      <c r="AE8" s="51">
        <f t="shared" si="2"/>
        <v>54696</v>
      </c>
      <c r="AF8" s="51">
        <f t="shared" si="2"/>
        <v>52698</v>
      </c>
      <c r="AG8" s="51">
        <f t="shared" si="2"/>
        <v>53537</v>
      </c>
      <c r="AH8" s="51">
        <f t="shared" si="2"/>
        <v>56255</v>
      </c>
      <c r="AI8" s="51">
        <f t="shared" si="2"/>
        <v>55521</v>
      </c>
      <c r="AJ8" s="51">
        <f t="shared" si="2"/>
        <v>56237</v>
      </c>
      <c r="AK8" s="51">
        <f t="shared" si="2"/>
        <v>52225</v>
      </c>
      <c r="AL8" s="51">
        <f t="shared" si="2"/>
        <v>53311</v>
      </c>
      <c r="AM8" s="51">
        <f t="shared" si="2"/>
        <v>50316</v>
      </c>
      <c r="AN8" s="51">
        <f t="shared" si="2"/>
        <v>47839</v>
      </c>
      <c r="AO8" s="51">
        <f t="shared" si="2"/>
        <v>47235</v>
      </c>
      <c r="AP8" s="51">
        <f t="shared" si="2"/>
        <v>43629</v>
      </c>
      <c r="AQ8" s="51">
        <f t="shared" si="2"/>
        <v>39654</v>
      </c>
      <c r="AR8" s="51">
        <f t="shared" si="2"/>
        <v>42799</v>
      </c>
      <c r="AS8" s="51">
        <f t="shared" si="2"/>
        <v>39721</v>
      </c>
      <c r="AT8" s="51">
        <f t="shared" si="2"/>
        <v>39096</v>
      </c>
      <c r="AU8" s="51">
        <f t="shared" si="2"/>
        <v>36682</v>
      </c>
      <c r="AV8" s="51">
        <f t="shared" si="2"/>
        <v>35921</v>
      </c>
      <c r="AW8" s="51">
        <f t="shared" si="2"/>
        <v>37457</v>
      </c>
      <c r="AX8" s="51">
        <f t="shared" si="2"/>
        <v>37095</v>
      </c>
      <c r="AY8" s="51">
        <f t="shared" si="2"/>
        <v>38849</v>
      </c>
      <c r="AZ8" s="51">
        <f t="shared" si="2"/>
        <v>36905</v>
      </c>
      <c r="BA8" s="51">
        <f t="shared" si="2"/>
        <v>36700</v>
      </c>
      <c r="BB8" s="51">
        <f t="shared" si="2"/>
        <v>35781</v>
      </c>
      <c r="BC8" s="51">
        <f t="shared" si="2"/>
        <v>33472</v>
      </c>
      <c r="BD8" s="51">
        <f t="shared" si="1"/>
        <v>31889</v>
      </c>
    </row>
    <row r="9" spans="1:56" x14ac:dyDescent="0.25">
      <c r="A9" s="14">
        <v>7</v>
      </c>
      <c r="B9" s="14" t="s">
        <v>132</v>
      </c>
      <c r="C9" s="51">
        <f t="shared" si="2"/>
        <v>30024</v>
      </c>
      <c r="D9" s="51">
        <f t="shared" si="2"/>
        <v>33461</v>
      </c>
      <c r="E9" s="51">
        <f t="shared" si="2"/>
        <v>36298</v>
      </c>
      <c r="F9" s="51">
        <f t="shared" si="2"/>
        <v>41387</v>
      </c>
      <c r="G9" s="51">
        <f t="shared" si="2"/>
        <v>46471</v>
      </c>
      <c r="H9" s="51">
        <f t="shared" si="2"/>
        <v>53831</v>
      </c>
      <c r="I9" s="51">
        <f t="shared" si="2"/>
        <v>60270</v>
      </c>
      <c r="J9" s="51">
        <f t="shared" si="2"/>
        <v>71147</v>
      </c>
      <c r="K9" s="51">
        <f t="shared" si="2"/>
        <v>77041</v>
      </c>
      <c r="L9" s="51">
        <f t="shared" si="2"/>
        <v>83610</v>
      </c>
      <c r="M9" s="51">
        <f t="shared" si="2"/>
        <v>94816</v>
      </c>
      <c r="N9" s="51">
        <f t="shared" si="2"/>
        <v>101138</v>
      </c>
      <c r="O9" s="51">
        <f t="shared" si="2"/>
        <v>94571</v>
      </c>
      <c r="P9" s="51">
        <f t="shared" si="2"/>
        <v>100036</v>
      </c>
      <c r="Q9" s="51">
        <f t="shared" si="2"/>
        <v>120562</v>
      </c>
      <c r="R9" s="51">
        <f t="shared" si="2"/>
        <v>133908</v>
      </c>
      <c r="S9" s="51">
        <f t="shared" si="2"/>
        <v>134355</v>
      </c>
      <c r="T9" s="51">
        <f t="shared" si="2"/>
        <v>131526</v>
      </c>
      <c r="U9" s="51">
        <f t="shared" si="2"/>
        <v>134024</v>
      </c>
      <c r="V9" s="51">
        <f t="shared" si="2"/>
        <v>145297</v>
      </c>
      <c r="W9" s="51">
        <f t="shared" si="2"/>
        <v>152144</v>
      </c>
      <c r="X9" s="51">
        <f t="shared" si="2"/>
        <v>152405</v>
      </c>
      <c r="Y9" s="51">
        <f t="shared" si="2"/>
        <v>142903</v>
      </c>
      <c r="Z9" s="51">
        <f t="shared" si="2"/>
        <v>127443</v>
      </c>
      <c r="AA9" s="51">
        <f t="shared" si="2"/>
        <v>123567</v>
      </c>
      <c r="AB9" s="51">
        <f t="shared" si="2"/>
        <v>126193</v>
      </c>
      <c r="AC9" s="51">
        <f t="shared" si="2"/>
        <v>132899</v>
      </c>
      <c r="AD9" s="51">
        <f t="shared" si="2"/>
        <v>136863</v>
      </c>
      <c r="AE9" s="51">
        <f t="shared" si="2"/>
        <v>141416</v>
      </c>
      <c r="AF9" s="51">
        <f t="shared" si="2"/>
        <v>136929</v>
      </c>
      <c r="AG9" s="51">
        <f t="shared" si="2"/>
        <v>147390</v>
      </c>
      <c r="AH9" s="51">
        <f t="shared" si="2"/>
        <v>163564</v>
      </c>
      <c r="AI9" s="51">
        <f t="shared" si="2"/>
        <v>165236</v>
      </c>
      <c r="AJ9" s="51">
        <f t="shared" si="2"/>
        <v>163443</v>
      </c>
      <c r="AK9" s="51">
        <f t="shared" si="2"/>
        <v>168568</v>
      </c>
      <c r="AL9" s="51">
        <f t="shared" si="2"/>
        <v>178086</v>
      </c>
      <c r="AM9" s="51">
        <f t="shared" si="2"/>
        <v>175283</v>
      </c>
      <c r="AN9" s="51">
        <f t="shared" si="2"/>
        <v>166054</v>
      </c>
      <c r="AO9" s="51">
        <f t="shared" si="2"/>
        <v>158431</v>
      </c>
      <c r="AP9" s="51">
        <f t="shared" si="2"/>
        <v>150020</v>
      </c>
      <c r="AQ9" s="51">
        <f t="shared" si="2"/>
        <v>146156</v>
      </c>
      <c r="AR9" s="51">
        <f t="shared" si="2"/>
        <v>147594</v>
      </c>
      <c r="AS9" s="51">
        <f t="shared" si="2"/>
        <v>144074</v>
      </c>
      <c r="AT9" s="51">
        <f t="shared" si="2"/>
        <v>134369</v>
      </c>
      <c r="AU9" s="51">
        <f t="shared" si="2"/>
        <v>129786</v>
      </c>
      <c r="AV9" s="51">
        <f t="shared" si="2"/>
        <v>128483</v>
      </c>
      <c r="AW9" s="51">
        <f t="shared" si="2"/>
        <v>127500</v>
      </c>
      <c r="AX9" s="51">
        <f t="shared" si="2"/>
        <v>127307</v>
      </c>
      <c r="AY9" s="51">
        <f t="shared" si="2"/>
        <v>133983</v>
      </c>
      <c r="AZ9" s="51">
        <f t="shared" si="2"/>
        <v>125771</v>
      </c>
      <c r="BA9" s="51">
        <f t="shared" si="2"/>
        <v>118583</v>
      </c>
      <c r="BB9" s="51">
        <f t="shared" si="2"/>
        <v>114871</v>
      </c>
      <c r="BC9" s="51">
        <f t="shared" si="2"/>
        <v>113772</v>
      </c>
      <c r="BD9" s="51">
        <f t="shared" si="1"/>
        <v>112384</v>
      </c>
    </row>
    <row r="10" spans="1:56" x14ac:dyDescent="0.25">
      <c r="A10" s="14">
        <v>8</v>
      </c>
      <c r="B10" s="14" t="s">
        <v>133</v>
      </c>
      <c r="C10" s="51">
        <f t="shared" si="2"/>
        <v>5708</v>
      </c>
      <c r="D10" s="51">
        <f t="shared" si="2"/>
        <v>6297</v>
      </c>
      <c r="E10" s="51">
        <f t="shared" si="2"/>
        <v>6226</v>
      </c>
      <c r="F10" s="51">
        <f t="shared" si="2"/>
        <v>7814</v>
      </c>
      <c r="G10" s="51">
        <f t="shared" si="2"/>
        <v>9267</v>
      </c>
      <c r="H10" s="51">
        <f t="shared" si="2"/>
        <v>10767</v>
      </c>
      <c r="I10" s="51">
        <f t="shared" si="2"/>
        <v>15542</v>
      </c>
      <c r="J10" s="51">
        <f t="shared" si="2"/>
        <v>18009</v>
      </c>
      <c r="K10" s="51">
        <f t="shared" si="2"/>
        <v>22729</v>
      </c>
      <c r="L10" s="51">
        <f t="shared" si="2"/>
        <v>22311</v>
      </c>
      <c r="M10" s="51">
        <f t="shared" si="2"/>
        <v>21478</v>
      </c>
      <c r="N10" s="51">
        <f t="shared" si="2"/>
        <v>21072</v>
      </c>
      <c r="O10" s="51">
        <f t="shared" si="2"/>
        <v>21667</v>
      </c>
      <c r="P10" s="51">
        <f t="shared" si="2"/>
        <v>22297</v>
      </c>
      <c r="Q10" s="51">
        <f t="shared" si="2"/>
        <v>23882</v>
      </c>
      <c r="R10" s="51">
        <f t="shared" si="2"/>
        <v>21182</v>
      </c>
      <c r="S10" s="51">
        <f t="shared" si="2"/>
        <v>17772</v>
      </c>
      <c r="T10" s="51">
        <f t="shared" si="2"/>
        <v>17734</v>
      </c>
      <c r="U10" s="51">
        <f t="shared" si="2"/>
        <v>17599</v>
      </c>
      <c r="V10" s="51">
        <f t="shared" si="2"/>
        <v>20232</v>
      </c>
      <c r="W10" s="51">
        <f t="shared" si="2"/>
        <v>18887</v>
      </c>
      <c r="X10" s="51">
        <f t="shared" si="2"/>
        <v>18480</v>
      </c>
      <c r="Y10" s="51">
        <f t="shared" si="2"/>
        <v>16724</v>
      </c>
      <c r="Z10" s="51">
        <f t="shared" si="2"/>
        <v>15688</v>
      </c>
      <c r="AA10" s="51">
        <f t="shared" si="2"/>
        <v>17274</v>
      </c>
      <c r="AB10" s="51">
        <f t="shared" si="2"/>
        <v>20265</v>
      </c>
      <c r="AC10" s="51">
        <f t="shared" si="2"/>
        <v>24331</v>
      </c>
      <c r="AD10" s="51">
        <f t="shared" si="2"/>
        <v>26419</v>
      </c>
      <c r="AE10" s="51">
        <f t="shared" si="2"/>
        <v>31198</v>
      </c>
      <c r="AF10" s="51">
        <f t="shared" si="2"/>
        <v>31163</v>
      </c>
      <c r="AG10" s="51">
        <f t="shared" si="2"/>
        <v>33885</v>
      </c>
      <c r="AH10" s="51">
        <f t="shared" si="2"/>
        <v>35517</v>
      </c>
      <c r="AI10" s="51">
        <f t="shared" si="2"/>
        <v>35657</v>
      </c>
      <c r="AJ10" s="51">
        <f t="shared" si="2"/>
        <v>33926</v>
      </c>
      <c r="AK10" s="51">
        <f t="shared" si="2"/>
        <v>38194</v>
      </c>
      <c r="AL10" s="51">
        <f t="shared" si="2"/>
        <v>36176</v>
      </c>
      <c r="AM10" s="51">
        <f t="shared" si="2"/>
        <v>36076</v>
      </c>
      <c r="AN10" s="51">
        <f t="shared" si="2"/>
        <v>30646</v>
      </c>
      <c r="AO10" s="51">
        <f t="shared" si="2"/>
        <v>28140</v>
      </c>
      <c r="AP10" s="51">
        <f t="shared" si="2"/>
        <v>26067</v>
      </c>
      <c r="AQ10" s="51">
        <f t="shared" si="2"/>
        <v>28622</v>
      </c>
      <c r="AR10" s="51">
        <f t="shared" si="2"/>
        <v>33289</v>
      </c>
      <c r="AS10" s="51">
        <f t="shared" si="2"/>
        <v>35882</v>
      </c>
      <c r="AT10" s="51">
        <f t="shared" si="2"/>
        <v>36406</v>
      </c>
      <c r="AU10" s="51">
        <f t="shared" si="2"/>
        <v>35858</v>
      </c>
      <c r="AV10" s="51">
        <f t="shared" si="2"/>
        <v>34070</v>
      </c>
      <c r="AW10" s="51">
        <f t="shared" si="2"/>
        <v>30522</v>
      </c>
      <c r="AX10" s="51">
        <f t="shared" si="2"/>
        <v>28393</v>
      </c>
      <c r="AY10" s="51">
        <f t="shared" si="2"/>
        <v>25340</v>
      </c>
      <c r="AZ10" s="51">
        <f t="shared" si="2"/>
        <v>19619</v>
      </c>
      <c r="BA10" s="51">
        <f t="shared" si="2"/>
        <v>18029</v>
      </c>
      <c r="BB10" s="51">
        <f t="shared" si="2"/>
        <v>16067</v>
      </c>
      <c r="BC10" s="51">
        <f t="shared" si="2"/>
        <v>14493</v>
      </c>
      <c r="BD10" s="51">
        <f t="shared" si="1"/>
        <v>13429</v>
      </c>
    </row>
    <row r="11" spans="1:56" x14ac:dyDescent="0.25">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row>
    <row r="13" spans="1:56" x14ac:dyDescent="0.25">
      <c r="A13" s="125" t="s">
        <v>5</v>
      </c>
      <c r="B13" s="125"/>
    </row>
    <row r="14" spans="1:56" x14ac:dyDescent="0.25">
      <c r="A14" s="14">
        <v>1</v>
      </c>
      <c r="B14" s="14" t="s">
        <v>134</v>
      </c>
    </row>
    <row r="15" spans="1:56" x14ac:dyDescent="0.25">
      <c r="A15" s="14">
        <v>2</v>
      </c>
      <c r="B15" s="14" t="s">
        <v>135</v>
      </c>
      <c r="C15" s="14" t="s">
        <v>136</v>
      </c>
    </row>
    <row r="16" spans="1:56" x14ac:dyDescent="0.25">
      <c r="A16" s="14">
        <v>3</v>
      </c>
      <c r="B16" s="14" t="s">
        <v>137</v>
      </c>
      <c r="C16" s="14" t="s">
        <v>136</v>
      </c>
    </row>
    <row r="17" spans="1:56" x14ac:dyDescent="0.25">
      <c r="A17" s="14">
        <v>4</v>
      </c>
      <c r="B17" s="14" t="s">
        <v>137</v>
      </c>
      <c r="C17" s="14" t="s">
        <v>136</v>
      </c>
    </row>
    <row r="18" spans="1:56" x14ac:dyDescent="0.25">
      <c r="A18" s="14">
        <v>5</v>
      </c>
      <c r="B18" s="14" t="s">
        <v>137</v>
      </c>
      <c r="C18" s="14" t="s">
        <v>136</v>
      </c>
    </row>
    <row r="19" spans="1:56" x14ac:dyDescent="0.25">
      <c r="A19" s="14">
        <v>6</v>
      </c>
      <c r="B19" s="14" t="s">
        <v>137</v>
      </c>
      <c r="C19" s="14" t="s">
        <v>136</v>
      </c>
    </row>
    <row r="20" spans="1:56" x14ac:dyDescent="0.25">
      <c r="A20" s="14">
        <v>7</v>
      </c>
      <c r="B20" s="14" t="s">
        <v>137</v>
      </c>
      <c r="C20" s="14" t="s">
        <v>136</v>
      </c>
    </row>
    <row r="21" spans="1:56" x14ac:dyDescent="0.25">
      <c r="A21" s="14">
        <v>8</v>
      </c>
      <c r="B21" s="14" t="s">
        <v>137</v>
      </c>
      <c r="C21" s="14" t="s">
        <v>136</v>
      </c>
    </row>
    <row r="22" spans="1:56" x14ac:dyDescent="0.25">
      <c r="A22" s="14">
        <v>9</v>
      </c>
      <c r="B22" s="14" t="s">
        <v>138</v>
      </c>
    </row>
    <row r="23" spans="1:56" x14ac:dyDescent="0.25">
      <c r="A23" s="14">
        <v>10</v>
      </c>
      <c r="B23" s="14" t="s">
        <v>138</v>
      </c>
    </row>
    <row r="24" spans="1:56" x14ac:dyDescent="0.25">
      <c r="A24" s="14">
        <v>11</v>
      </c>
      <c r="B24" s="14" t="s">
        <v>138</v>
      </c>
    </row>
    <row r="25" spans="1:56" x14ac:dyDescent="0.25">
      <c r="A25" s="14">
        <v>12</v>
      </c>
      <c r="B25" s="14" t="s">
        <v>138</v>
      </c>
    </row>
    <row r="26" spans="1:56" x14ac:dyDescent="0.25">
      <c r="A26" s="14">
        <v>13</v>
      </c>
      <c r="B26" s="14" t="s">
        <v>138</v>
      </c>
    </row>
    <row r="27" spans="1:56" x14ac:dyDescent="0.25">
      <c r="A27" s="14">
        <v>14</v>
      </c>
      <c r="B27" s="14" t="s">
        <v>138</v>
      </c>
    </row>
    <row r="28" spans="1:56" x14ac:dyDescent="0.25">
      <c r="A28" s="14">
        <v>15</v>
      </c>
      <c r="B28" s="14" t="s">
        <v>138</v>
      </c>
    </row>
    <row r="31" spans="1:56" ht="14" x14ac:dyDescent="0.3">
      <c r="A31" s="125" t="s">
        <v>10</v>
      </c>
      <c r="B31" s="130"/>
    </row>
    <row r="32" spans="1:56" s="18" customFormat="1" x14ac:dyDescent="0.25">
      <c r="A32" s="18">
        <v>1</v>
      </c>
      <c r="B32" s="18" t="s">
        <v>139</v>
      </c>
      <c r="C32" s="18">
        <f>C47/1000000000</f>
        <v>0.49370659737</v>
      </c>
      <c r="D32" s="18">
        <f t="shared" ref="D32:BA32" si="3">D47/1000000000</f>
        <v>0.44771443269</v>
      </c>
      <c r="E32" s="18">
        <f t="shared" si="3"/>
        <v>0.54088091035999997</v>
      </c>
      <c r="F32" s="18">
        <f t="shared" si="3"/>
        <v>0.61375580854</v>
      </c>
      <c r="G32" s="18">
        <f t="shared" si="3"/>
        <v>0.69867003291999996</v>
      </c>
      <c r="H32" s="18">
        <f t="shared" si="3"/>
        <v>0.76423364018000006</v>
      </c>
      <c r="I32" s="18">
        <f t="shared" si="3"/>
        <v>0.84922244153999993</v>
      </c>
      <c r="J32" s="18">
        <f t="shared" si="3"/>
        <v>1.0341479445699999</v>
      </c>
      <c r="K32" s="18">
        <f t="shared" si="3"/>
        <v>1.27688479512</v>
      </c>
      <c r="L32" s="18">
        <f t="shared" si="3"/>
        <v>1.2867459641799999</v>
      </c>
      <c r="M32" s="18">
        <f t="shared" si="3"/>
        <v>1.2947000215</v>
      </c>
      <c r="N32" s="18">
        <f t="shared" si="3"/>
        <v>1.5067735143900001</v>
      </c>
      <c r="O32" s="18">
        <f t="shared" si="3"/>
        <v>1.6627253500099999</v>
      </c>
      <c r="P32" s="18">
        <f t="shared" si="3"/>
        <v>1.56366652348</v>
      </c>
      <c r="Q32" s="18">
        <f t="shared" si="3"/>
        <v>1.67594322094</v>
      </c>
      <c r="R32" s="18">
        <f t="shared" si="3"/>
        <v>1.5735750042899999</v>
      </c>
      <c r="S32" s="18">
        <f t="shared" si="3"/>
        <v>1.3439619428899998</v>
      </c>
      <c r="T32" s="18">
        <f t="shared" si="3"/>
        <v>1.3353246408900001</v>
      </c>
      <c r="U32" s="18">
        <f t="shared" si="3"/>
        <v>1.3654073439299999</v>
      </c>
      <c r="V32" s="18">
        <f t="shared" si="3"/>
        <v>1.5776548672100001</v>
      </c>
      <c r="W32" s="18">
        <f t="shared" si="3"/>
        <v>1.59609457524</v>
      </c>
      <c r="X32" s="18">
        <f t="shared" si="3"/>
        <v>1.6578601589299999</v>
      </c>
      <c r="Y32" s="18">
        <f t="shared" si="3"/>
        <v>1.6417092434</v>
      </c>
      <c r="Z32" s="18">
        <f t="shared" si="3"/>
        <v>1.4434459722299999</v>
      </c>
      <c r="AA32" s="18">
        <f t="shared" si="3"/>
        <v>1.4381322345800001</v>
      </c>
      <c r="AB32" s="18">
        <f t="shared" si="3"/>
        <v>1.4727453269500002</v>
      </c>
      <c r="AC32" s="18">
        <f t="shared" si="3"/>
        <v>1.6308840098500001</v>
      </c>
      <c r="AD32" s="18">
        <f t="shared" si="3"/>
        <v>1.71803196453</v>
      </c>
      <c r="AE32" s="18">
        <f t="shared" si="3"/>
        <v>1.7642483962000002</v>
      </c>
      <c r="AF32" s="18">
        <f t="shared" si="3"/>
        <v>1.9867523410000001</v>
      </c>
      <c r="AG32" s="18">
        <f t="shared" si="3"/>
        <v>2.1008167042700001</v>
      </c>
      <c r="AH32" s="18">
        <f t="shared" si="3"/>
        <v>2.1762689279000003</v>
      </c>
      <c r="AI32" s="18">
        <f t="shared" si="3"/>
        <v>2.2642827001300003</v>
      </c>
      <c r="AJ32" s="18">
        <f t="shared" si="3"/>
        <v>2.33460138436</v>
      </c>
      <c r="AK32" s="18">
        <f t="shared" si="3"/>
        <v>2.1980750969400003</v>
      </c>
      <c r="AL32" s="18">
        <f t="shared" si="3"/>
        <v>2.2603529581000004</v>
      </c>
      <c r="AM32" s="18">
        <f t="shared" si="3"/>
        <v>2.1954873662000001</v>
      </c>
      <c r="AN32" s="18">
        <f t="shared" si="3"/>
        <v>1.9259202464</v>
      </c>
      <c r="AO32" s="18">
        <f t="shared" si="3"/>
        <v>1.906710288</v>
      </c>
      <c r="AP32" s="18">
        <f t="shared" si="3"/>
        <v>1.84202177904</v>
      </c>
      <c r="AQ32" s="18">
        <f t="shared" si="3"/>
        <v>1.7230198173700002</v>
      </c>
      <c r="AR32" s="18">
        <f t="shared" si="3"/>
        <v>1.8091200122199997</v>
      </c>
      <c r="AS32" s="18">
        <f t="shared" si="3"/>
        <v>1.9490610150599998</v>
      </c>
      <c r="AT32" s="18">
        <f t="shared" si="3"/>
        <v>1.906546506</v>
      </c>
      <c r="AU32" s="18">
        <f t="shared" si="3"/>
        <v>1.8899447275800001</v>
      </c>
      <c r="AV32" s="18">
        <f t="shared" si="3"/>
        <v>1.9479662173800001</v>
      </c>
      <c r="AW32" s="18">
        <f t="shared" si="3"/>
        <v>1.9039649494699997</v>
      </c>
      <c r="AX32" s="18">
        <f t="shared" si="3"/>
        <v>1.8906517573800001</v>
      </c>
      <c r="AY32" s="18">
        <f t="shared" si="3"/>
        <v>1.7356156153500002</v>
      </c>
      <c r="AZ32" s="18">
        <f t="shared" si="3"/>
        <v>1.5733574255</v>
      </c>
      <c r="BA32" s="18">
        <f t="shared" si="3"/>
        <v>1.52121317758</v>
      </c>
      <c r="BB32" s="18">
        <f>BB47/1000000000</f>
        <v>1.4189202831499999</v>
      </c>
      <c r="BC32" s="18">
        <f>BC47/1000000000</f>
        <v>1.34645883566</v>
      </c>
      <c r="BD32" s="18">
        <f>BD47/1000000000</f>
        <v>1.36397153618</v>
      </c>
    </row>
    <row r="33" spans="1:56" s="18" customFormat="1" x14ac:dyDescent="0.25">
      <c r="A33" s="18">
        <v>2</v>
      </c>
      <c r="B33" s="18" t="s">
        <v>140</v>
      </c>
      <c r="C33" s="18">
        <v>168</v>
      </c>
      <c r="D33" s="18">
        <v>143</v>
      </c>
      <c r="E33" s="18">
        <v>183</v>
      </c>
      <c r="F33" s="18">
        <v>207</v>
      </c>
      <c r="G33" s="18">
        <v>229</v>
      </c>
      <c r="H33" s="18">
        <v>236</v>
      </c>
      <c r="I33" s="18">
        <v>254</v>
      </c>
      <c r="J33" s="18">
        <v>293</v>
      </c>
      <c r="K33" s="18">
        <v>350</v>
      </c>
      <c r="L33" s="18">
        <v>350</v>
      </c>
      <c r="M33" s="18">
        <v>362</v>
      </c>
      <c r="N33" s="18">
        <v>449</v>
      </c>
      <c r="O33" s="18">
        <v>509</v>
      </c>
      <c r="P33" s="18">
        <v>460</v>
      </c>
      <c r="Q33" s="18">
        <v>481</v>
      </c>
      <c r="R33" s="18">
        <v>437</v>
      </c>
      <c r="S33" s="18">
        <v>352</v>
      </c>
      <c r="T33" s="18">
        <v>333</v>
      </c>
      <c r="U33" s="18">
        <v>338</v>
      </c>
      <c r="V33" s="18">
        <v>406</v>
      </c>
      <c r="W33" s="18">
        <v>399</v>
      </c>
      <c r="X33" s="18">
        <v>421</v>
      </c>
      <c r="Y33" s="18">
        <v>432</v>
      </c>
      <c r="Z33" s="18">
        <v>367</v>
      </c>
      <c r="AA33" s="18">
        <v>354</v>
      </c>
      <c r="AB33" s="18">
        <v>350</v>
      </c>
      <c r="AC33" s="18">
        <v>399</v>
      </c>
      <c r="AD33" s="18">
        <v>444</v>
      </c>
      <c r="AE33" s="18">
        <v>452</v>
      </c>
      <c r="AF33" s="18">
        <v>540</v>
      </c>
      <c r="AG33" s="18">
        <v>553</v>
      </c>
      <c r="AH33" s="18">
        <v>569</v>
      </c>
      <c r="AI33" s="18">
        <v>596</v>
      </c>
      <c r="AJ33" s="18">
        <v>632</v>
      </c>
      <c r="AK33" s="18">
        <v>579</v>
      </c>
      <c r="AL33" s="18">
        <v>596</v>
      </c>
      <c r="AM33" s="18">
        <v>588</v>
      </c>
      <c r="AN33" s="18">
        <v>501</v>
      </c>
      <c r="AO33" s="18">
        <v>511</v>
      </c>
      <c r="AP33" s="18">
        <v>492</v>
      </c>
      <c r="AQ33" s="18">
        <v>438</v>
      </c>
      <c r="AR33" s="18">
        <v>463</v>
      </c>
      <c r="AS33" s="18">
        <v>528</v>
      </c>
      <c r="AT33" s="18">
        <v>525</v>
      </c>
      <c r="AU33" s="18">
        <v>521</v>
      </c>
      <c r="AV33" s="18">
        <v>552</v>
      </c>
      <c r="AW33" s="18">
        <v>547</v>
      </c>
      <c r="AX33" s="18">
        <v>553</v>
      </c>
      <c r="AY33" s="18">
        <v>493</v>
      </c>
      <c r="AZ33" s="18">
        <v>440</v>
      </c>
      <c r="BA33" s="61">
        <v>426</v>
      </c>
      <c r="BB33" s="61">
        <v>398</v>
      </c>
      <c r="BC33" s="61">
        <v>372</v>
      </c>
      <c r="BD33" s="18">
        <v>387</v>
      </c>
    </row>
    <row r="34" spans="1:56" s="18" customFormat="1" x14ac:dyDescent="0.25">
      <c r="A34" s="18">
        <v>3</v>
      </c>
      <c r="B34" s="18" t="s">
        <v>141</v>
      </c>
      <c r="C34" s="18">
        <v>224</v>
      </c>
      <c r="D34" s="18">
        <v>262</v>
      </c>
      <c r="E34" s="18">
        <v>279</v>
      </c>
      <c r="F34" s="18">
        <v>308</v>
      </c>
      <c r="G34" s="18">
        <v>346</v>
      </c>
      <c r="H34" s="18">
        <v>489</v>
      </c>
      <c r="I34" s="18">
        <v>554</v>
      </c>
      <c r="J34" s="18">
        <v>720</v>
      </c>
      <c r="K34" s="18">
        <v>978</v>
      </c>
      <c r="L34" s="18">
        <v>1125</v>
      </c>
      <c r="M34" s="18">
        <v>936</v>
      </c>
      <c r="N34" s="18">
        <v>997</v>
      </c>
      <c r="O34" s="18">
        <v>1053</v>
      </c>
      <c r="P34" s="18">
        <v>1131</v>
      </c>
      <c r="Q34" s="18">
        <v>1219</v>
      </c>
      <c r="R34" s="18">
        <v>1289</v>
      </c>
      <c r="S34" s="18">
        <v>1327</v>
      </c>
      <c r="T34" s="18">
        <v>1439</v>
      </c>
      <c r="U34" s="18">
        <v>1476</v>
      </c>
      <c r="V34" s="18">
        <v>1636</v>
      </c>
      <c r="W34" s="18">
        <v>1681</v>
      </c>
      <c r="X34" s="18">
        <v>1654</v>
      </c>
      <c r="Y34" s="18">
        <v>1596</v>
      </c>
      <c r="Z34" s="18">
        <v>1412</v>
      </c>
      <c r="AA34" s="18">
        <v>1640</v>
      </c>
      <c r="AB34" s="18">
        <v>1711</v>
      </c>
      <c r="AC34" s="18">
        <v>1947</v>
      </c>
      <c r="AD34" s="18">
        <v>1894</v>
      </c>
      <c r="AE34" s="18">
        <v>1721</v>
      </c>
      <c r="AF34" s="18">
        <v>1783</v>
      </c>
      <c r="AG34" s="18">
        <v>2185</v>
      </c>
      <c r="AH34" s="18">
        <v>2229</v>
      </c>
      <c r="AI34" s="18">
        <v>2280</v>
      </c>
      <c r="AJ34" s="18">
        <v>2185</v>
      </c>
      <c r="AK34" s="18">
        <v>2037</v>
      </c>
      <c r="AL34" s="18">
        <v>2130</v>
      </c>
      <c r="AM34" s="18">
        <v>1907</v>
      </c>
      <c r="AN34" s="18">
        <v>1813</v>
      </c>
      <c r="AO34" s="18">
        <v>1707</v>
      </c>
      <c r="AP34" s="18">
        <v>1482</v>
      </c>
      <c r="AQ34" s="18">
        <v>1508</v>
      </c>
      <c r="AR34" s="18">
        <v>1453</v>
      </c>
      <c r="AS34" s="18">
        <v>1364</v>
      </c>
      <c r="AT34" s="18">
        <v>1345</v>
      </c>
      <c r="AU34" s="18">
        <v>1316</v>
      </c>
      <c r="AV34" s="18">
        <v>1266</v>
      </c>
      <c r="AW34" s="18">
        <v>1178</v>
      </c>
      <c r="AX34" s="18">
        <v>1179</v>
      </c>
      <c r="AY34" s="18">
        <v>1127</v>
      </c>
      <c r="AZ34" s="18">
        <v>1156</v>
      </c>
      <c r="BA34" s="61">
        <v>1228</v>
      </c>
      <c r="BB34" s="61">
        <v>1196</v>
      </c>
      <c r="BC34" s="61">
        <v>1236</v>
      </c>
      <c r="BD34" s="18">
        <v>1169</v>
      </c>
    </row>
    <row r="35" spans="1:56" s="18" customFormat="1" x14ac:dyDescent="0.25">
      <c r="A35" s="18">
        <v>4</v>
      </c>
      <c r="B35" s="18" t="s">
        <v>142</v>
      </c>
      <c r="C35" s="18">
        <v>1158</v>
      </c>
      <c r="D35" s="18">
        <v>1330</v>
      </c>
      <c r="E35" s="18">
        <v>1340</v>
      </c>
      <c r="F35" s="18">
        <v>1721</v>
      </c>
      <c r="G35" s="18">
        <v>2041</v>
      </c>
      <c r="H35" s="18">
        <v>2919</v>
      </c>
      <c r="I35" s="18">
        <v>4470</v>
      </c>
      <c r="J35" s="18">
        <v>7809</v>
      </c>
      <c r="K35" s="18">
        <v>10355</v>
      </c>
      <c r="L35" s="18">
        <v>11086</v>
      </c>
      <c r="M35" s="18">
        <v>13280</v>
      </c>
      <c r="N35" s="18">
        <v>13015</v>
      </c>
      <c r="O35" s="18">
        <v>13144</v>
      </c>
      <c r="P35" s="18">
        <v>12274</v>
      </c>
      <c r="Q35" s="18">
        <v>14765</v>
      </c>
      <c r="R35" s="18">
        <v>14107</v>
      </c>
      <c r="S35" s="18">
        <v>12247</v>
      </c>
      <c r="T35" s="18">
        <v>12088</v>
      </c>
      <c r="U35" s="18">
        <v>12828</v>
      </c>
      <c r="V35" s="18">
        <v>13740</v>
      </c>
      <c r="W35" s="18">
        <v>16461</v>
      </c>
      <c r="X35" s="18">
        <v>18085</v>
      </c>
      <c r="Y35" s="18">
        <v>15377</v>
      </c>
      <c r="Z35" s="18">
        <v>14950</v>
      </c>
      <c r="AA35" s="18">
        <v>13097</v>
      </c>
      <c r="AB35" s="18">
        <v>13276</v>
      </c>
      <c r="AC35" s="18">
        <v>13570</v>
      </c>
      <c r="AD35" s="18">
        <v>13363</v>
      </c>
      <c r="AE35" s="18">
        <v>13991</v>
      </c>
      <c r="AF35" s="18">
        <v>15584</v>
      </c>
      <c r="AG35" s="18">
        <v>17393</v>
      </c>
      <c r="AH35" s="18">
        <v>19781</v>
      </c>
      <c r="AI35" s="18">
        <v>21054</v>
      </c>
      <c r="AJ35" s="18">
        <v>21580</v>
      </c>
      <c r="AK35" s="18">
        <v>20146</v>
      </c>
      <c r="AL35" s="18">
        <v>21331</v>
      </c>
      <c r="AM35" s="18">
        <v>19935</v>
      </c>
      <c r="AN35" s="18">
        <v>17158</v>
      </c>
      <c r="AO35" s="18">
        <v>15303</v>
      </c>
      <c r="AP35" s="18">
        <v>14124</v>
      </c>
      <c r="AQ35" s="18">
        <v>13707</v>
      </c>
      <c r="AR35" s="18">
        <v>14252</v>
      </c>
      <c r="AS35" s="18">
        <v>13687</v>
      </c>
      <c r="AT35" s="18">
        <v>13302</v>
      </c>
      <c r="AU35" s="18">
        <v>12761</v>
      </c>
      <c r="AV35" s="18">
        <v>14378</v>
      </c>
      <c r="AW35" s="18">
        <v>14375</v>
      </c>
      <c r="AX35" s="18">
        <v>13258</v>
      </c>
      <c r="AY35" s="18">
        <v>13203</v>
      </c>
      <c r="AZ35" s="18">
        <v>12007</v>
      </c>
      <c r="BA35" s="61">
        <v>11053</v>
      </c>
      <c r="BB35" s="61">
        <v>10338</v>
      </c>
      <c r="BC35" s="61">
        <v>10171</v>
      </c>
      <c r="BD35" s="18">
        <v>10082</v>
      </c>
    </row>
    <row r="36" spans="1:56" s="18" customFormat="1" x14ac:dyDescent="0.25">
      <c r="A36" s="18">
        <v>5</v>
      </c>
      <c r="B36" s="18" t="s">
        <v>143</v>
      </c>
      <c r="C36" s="18">
        <v>3141</v>
      </c>
      <c r="D36" s="18">
        <v>3224</v>
      </c>
      <c r="E36" s="18">
        <v>3113</v>
      </c>
      <c r="F36" s="18">
        <v>3047</v>
      </c>
      <c r="G36" s="18">
        <v>4830</v>
      </c>
      <c r="H36" s="18">
        <v>6388</v>
      </c>
      <c r="I36" s="18">
        <v>5958</v>
      </c>
      <c r="J36" s="18">
        <v>8636</v>
      </c>
      <c r="K36" s="18">
        <v>11722</v>
      </c>
      <c r="L36" s="18">
        <v>11734</v>
      </c>
      <c r="M36" s="18">
        <v>9934</v>
      </c>
      <c r="N36" s="18">
        <v>10396</v>
      </c>
      <c r="O36" s="18">
        <v>11706</v>
      </c>
      <c r="P36" s="18">
        <v>12228</v>
      </c>
      <c r="Q36" s="18">
        <v>12974</v>
      </c>
      <c r="R36" s="18">
        <v>13254</v>
      </c>
      <c r="S36" s="18">
        <v>12323</v>
      </c>
      <c r="T36" s="18">
        <v>14856</v>
      </c>
      <c r="U36" s="18">
        <v>15686</v>
      </c>
      <c r="V36" s="18">
        <v>17225</v>
      </c>
      <c r="W36" s="18">
        <v>17194</v>
      </c>
      <c r="X36" s="18">
        <v>17640</v>
      </c>
      <c r="Y36" s="18">
        <v>18849</v>
      </c>
      <c r="Z36" s="18">
        <v>18007</v>
      </c>
      <c r="AA36" s="18">
        <v>19364</v>
      </c>
      <c r="AB36" s="18">
        <v>21425</v>
      </c>
      <c r="AC36" s="18">
        <v>21226</v>
      </c>
      <c r="AD36" s="18">
        <v>19597</v>
      </c>
      <c r="AE36" s="18">
        <v>21290</v>
      </c>
      <c r="AF36" s="18">
        <v>22206</v>
      </c>
      <c r="AG36" s="18">
        <v>23837</v>
      </c>
      <c r="AH36" s="18">
        <v>23846</v>
      </c>
      <c r="AI36" s="18">
        <v>25110</v>
      </c>
      <c r="AJ36" s="18">
        <v>25161</v>
      </c>
      <c r="AK36" s="18">
        <v>24692</v>
      </c>
      <c r="AL36" s="18">
        <v>25699</v>
      </c>
      <c r="AM36" s="18">
        <v>24798</v>
      </c>
      <c r="AN36" s="18">
        <v>23614</v>
      </c>
      <c r="AO36" s="18">
        <v>23260</v>
      </c>
      <c r="AP36" s="18">
        <v>26105</v>
      </c>
      <c r="AQ36" s="18">
        <v>26201</v>
      </c>
      <c r="AR36" s="18">
        <v>26748</v>
      </c>
      <c r="AS36" s="18">
        <v>26709</v>
      </c>
      <c r="AT36" s="18">
        <v>23593</v>
      </c>
      <c r="AU36" s="18">
        <v>24339</v>
      </c>
      <c r="AV36" s="18">
        <v>23173</v>
      </c>
      <c r="AW36" s="18">
        <v>22011</v>
      </c>
      <c r="AX36" s="18">
        <v>21074</v>
      </c>
      <c r="AY36" s="18">
        <v>20571</v>
      </c>
      <c r="AZ36" s="18">
        <v>20023</v>
      </c>
      <c r="BA36" s="61">
        <v>18898</v>
      </c>
      <c r="BB36" s="61">
        <v>16866</v>
      </c>
      <c r="BC36" s="61">
        <v>16300</v>
      </c>
      <c r="BD36" s="18">
        <v>16082</v>
      </c>
    </row>
    <row r="37" spans="1:56" s="18" customFormat="1" x14ac:dyDescent="0.25">
      <c r="A37" s="18">
        <v>6</v>
      </c>
      <c r="B37" s="18" t="s">
        <v>144</v>
      </c>
      <c r="C37" s="18">
        <v>11360</v>
      </c>
      <c r="D37" s="18">
        <v>12348</v>
      </c>
      <c r="E37" s="18">
        <v>12886</v>
      </c>
      <c r="F37" s="18">
        <v>15968</v>
      </c>
      <c r="G37" s="18">
        <v>18735</v>
      </c>
      <c r="H37" s="18">
        <v>22474</v>
      </c>
      <c r="I37" s="18">
        <v>27254</v>
      </c>
      <c r="J37" s="18">
        <v>37366</v>
      </c>
      <c r="K37" s="18">
        <v>48886</v>
      </c>
      <c r="L37" s="18">
        <v>41970</v>
      </c>
      <c r="M37" s="18">
        <v>41234</v>
      </c>
      <c r="N37" s="18">
        <v>44900</v>
      </c>
      <c r="O37" s="18">
        <v>45090</v>
      </c>
      <c r="P37" s="18">
        <v>46584</v>
      </c>
      <c r="Q37" s="18">
        <v>57433</v>
      </c>
      <c r="R37" s="18">
        <v>57912</v>
      </c>
      <c r="S37" s="18">
        <v>56356</v>
      </c>
      <c r="T37" s="18">
        <v>57946</v>
      </c>
      <c r="U37" s="18">
        <v>58907</v>
      </c>
      <c r="V37" s="18">
        <v>62630</v>
      </c>
      <c r="W37" s="18">
        <v>71183</v>
      </c>
      <c r="X37" s="18">
        <v>70740</v>
      </c>
      <c r="Y37" s="18">
        <v>60547</v>
      </c>
      <c r="Z37" s="18">
        <v>52697</v>
      </c>
      <c r="AA37" s="18">
        <v>51484</v>
      </c>
      <c r="AB37" s="18">
        <v>53168</v>
      </c>
      <c r="AC37" s="18">
        <v>55596</v>
      </c>
      <c r="AD37" s="18">
        <v>53226</v>
      </c>
      <c r="AE37" s="18">
        <v>54696</v>
      </c>
      <c r="AF37" s="18">
        <v>52698</v>
      </c>
      <c r="AG37" s="18">
        <v>53537</v>
      </c>
      <c r="AH37" s="18">
        <v>56255</v>
      </c>
      <c r="AI37" s="18">
        <v>55521</v>
      </c>
      <c r="AJ37" s="18">
        <v>56237</v>
      </c>
      <c r="AK37" s="18">
        <v>52225</v>
      </c>
      <c r="AL37" s="18">
        <v>53311</v>
      </c>
      <c r="AM37" s="18">
        <v>50316</v>
      </c>
      <c r="AN37" s="18">
        <v>47839</v>
      </c>
      <c r="AO37" s="18">
        <v>47235</v>
      </c>
      <c r="AP37" s="18">
        <v>43629</v>
      </c>
      <c r="AQ37" s="18">
        <v>39654</v>
      </c>
      <c r="AR37" s="18">
        <v>42799</v>
      </c>
      <c r="AS37" s="18">
        <v>39721</v>
      </c>
      <c r="AT37" s="18">
        <v>39096</v>
      </c>
      <c r="AU37" s="18">
        <v>36682</v>
      </c>
      <c r="AV37" s="18">
        <v>35921</v>
      </c>
      <c r="AW37" s="18">
        <v>37457</v>
      </c>
      <c r="AX37" s="18">
        <v>37095</v>
      </c>
      <c r="AY37" s="18">
        <v>38849</v>
      </c>
      <c r="AZ37" s="18">
        <v>36905</v>
      </c>
      <c r="BA37" s="61">
        <v>36700</v>
      </c>
      <c r="BB37" s="61">
        <v>35781</v>
      </c>
      <c r="BC37" s="61">
        <v>33472</v>
      </c>
      <c r="BD37" s="18">
        <v>31889</v>
      </c>
    </row>
    <row r="38" spans="1:56" s="18" customFormat="1" x14ac:dyDescent="0.25">
      <c r="A38" s="18">
        <v>7</v>
      </c>
      <c r="B38" s="18" t="s">
        <v>145</v>
      </c>
      <c r="C38" s="18">
        <v>30024</v>
      </c>
      <c r="D38" s="18">
        <v>33461</v>
      </c>
      <c r="E38" s="18">
        <v>36298</v>
      </c>
      <c r="F38" s="18">
        <v>41387</v>
      </c>
      <c r="G38" s="18">
        <v>46471</v>
      </c>
      <c r="H38" s="18">
        <v>53831</v>
      </c>
      <c r="I38" s="18">
        <v>60270</v>
      </c>
      <c r="J38" s="18">
        <v>71147</v>
      </c>
      <c r="K38" s="18">
        <v>77041</v>
      </c>
      <c r="L38" s="18">
        <v>83610</v>
      </c>
      <c r="M38" s="18">
        <v>94816</v>
      </c>
      <c r="N38" s="18">
        <v>101138</v>
      </c>
      <c r="O38" s="18">
        <v>94571</v>
      </c>
      <c r="P38" s="18">
        <v>100036</v>
      </c>
      <c r="Q38" s="18">
        <v>120562</v>
      </c>
      <c r="R38" s="18">
        <v>133908</v>
      </c>
      <c r="S38" s="18">
        <v>134355</v>
      </c>
      <c r="T38" s="18">
        <v>131526</v>
      </c>
      <c r="U38" s="18">
        <v>134024</v>
      </c>
      <c r="V38" s="18">
        <v>145297</v>
      </c>
      <c r="W38" s="18">
        <v>152144</v>
      </c>
      <c r="X38" s="18">
        <v>152405</v>
      </c>
      <c r="Y38" s="18">
        <v>142903</v>
      </c>
      <c r="Z38" s="18">
        <v>127443</v>
      </c>
      <c r="AA38" s="18">
        <v>123567</v>
      </c>
      <c r="AB38" s="18">
        <v>126193</v>
      </c>
      <c r="AC38" s="18">
        <v>132899</v>
      </c>
      <c r="AD38" s="18">
        <v>136863</v>
      </c>
      <c r="AE38" s="18">
        <v>141416</v>
      </c>
      <c r="AF38" s="18">
        <v>136929</v>
      </c>
      <c r="AG38" s="18">
        <v>147390</v>
      </c>
      <c r="AH38" s="18">
        <v>163564</v>
      </c>
      <c r="AI38" s="18">
        <v>165236</v>
      </c>
      <c r="AJ38" s="18">
        <v>163443</v>
      </c>
      <c r="AK38" s="18">
        <v>168568</v>
      </c>
      <c r="AL38" s="18">
        <v>178086</v>
      </c>
      <c r="AM38" s="18">
        <v>175283</v>
      </c>
      <c r="AN38" s="18">
        <v>166054</v>
      </c>
      <c r="AO38" s="18">
        <v>158431</v>
      </c>
      <c r="AP38" s="18">
        <v>150020</v>
      </c>
      <c r="AQ38" s="18">
        <v>146156</v>
      </c>
      <c r="AR38" s="18">
        <v>147594</v>
      </c>
      <c r="AS38" s="18">
        <v>144074</v>
      </c>
      <c r="AT38" s="18">
        <v>134369</v>
      </c>
      <c r="AU38" s="18">
        <v>129786</v>
      </c>
      <c r="AV38" s="18">
        <v>128483</v>
      </c>
      <c r="AW38" s="18">
        <v>127500</v>
      </c>
      <c r="AX38" s="18">
        <v>127307</v>
      </c>
      <c r="AY38" s="18">
        <v>133983</v>
      </c>
      <c r="AZ38" s="18">
        <v>125771</v>
      </c>
      <c r="BA38" s="61">
        <v>118583</v>
      </c>
      <c r="BB38" s="61">
        <v>114871</v>
      </c>
      <c r="BC38" s="61">
        <v>113772</v>
      </c>
      <c r="BD38" s="18">
        <v>112384</v>
      </c>
    </row>
    <row r="39" spans="1:56" s="18" customFormat="1" x14ac:dyDescent="0.25">
      <c r="A39" s="18">
        <v>8</v>
      </c>
      <c r="B39" s="18" t="s">
        <v>146</v>
      </c>
      <c r="C39" s="18">
        <v>5708</v>
      </c>
      <c r="D39" s="18">
        <v>6297</v>
      </c>
      <c r="E39" s="18">
        <v>6226</v>
      </c>
      <c r="F39" s="18">
        <v>7814</v>
      </c>
      <c r="G39" s="18">
        <v>9267</v>
      </c>
      <c r="H39" s="18">
        <v>10767</v>
      </c>
      <c r="I39" s="18">
        <v>15542</v>
      </c>
      <c r="J39" s="18">
        <v>18009</v>
      </c>
      <c r="K39" s="18">
        <v>22729</v>
      </c>
      <c r="L39" s="18">
        <v>22311</v>
      </c>
      <c r="M39" s="18">
        <v>21478</v>
      </c>
      <c r="N39" s="18">
        <v>21072</v>
      </c>
      <c r="O39" s="18">
        <v>21667</v>
      </c>
      <c r="P39" s="18">
        <v>22297</v>
      </c>
      <c r="Q39" s="18">
        <v>23882</v>
      </c>
      <c r="R39" s="18">
        <v>21182</v>
      </c>
      <c r="S39" s="18">
        <v>17772</v>
      </c>
      <c r="T39" s="18">
        <v>17734</v>
      </c>
      <c r="U39" s="18">
        <v>17599</v>
      </c>
      <c r="V39" s="18">
        <v>20232</v>
      </c>
      <c r="W39" s="18">
        <v>18887</v>
      </c>
      <c r="X39" s="18">
        <v>18480</v>
      </c>
      <c r="Y39" s="18">
        <v>16724</v>
      </c>
      <c r="Z39" s="18">
        <v>15688</v>
      </c>
      <c r="AA39" s="18">
        <v>17274</v>
      </c>
      <c r="AB39" s="18">
        <v>20265</v>
      </c>
      <c r="AC39" s="18">
        <v>24331</v>
      </c>
      <c r="AD39" s="18">
        <v>26419</v>
      </c>
      <c r="AE39" s="18">
        <v>31198</v>
      </c>
      <c r="AF39" s="18">
        <v>31163</v>
      </c>
      <c r="AG39" s="18">
        <v>33885</v>
      </c>
      <c r="AH39" s="18">
        <v>35517</v>
      </c>
      <c r="AI39" s="18">
        <v>35657</v>
      </c>
      <c r="AJ39" s="18">
        <v>33926</v>
      </c>
      <c r="AK39" s="18">
        <v>38194</v>
      </c>
      <c r="AL39" s="18">
        <v>36176</v>
      </c>
      <c r="AM39" s="18">
        <v>36076</v>
      </c>
      <c r="AN39" s="18">
        <v>30646</v>
      </c>
      <c r="AO39" s="18">
        <v>28140</v>
      </c>
      <c r="AP39" s="18">
        <v>26067</v>
      </c>
      <c r="AQ39" s="18">
        <v>28622</v>
      </c>
      <c r="AR39" s="18">
        <v>33289</v>
      </c>
      <c r="AS39" s="18">
        <v>35882</v>
      </c>
      <c r="AT39" s="18">
        <v>36406</v>
      </c>
      <c r="AU39" s="18">
        <v>35858</v>
      </c>
      <c r="AV39" s="18">
        <v>34070</v>
      </c>
      <c r="AW39" s="18">
        <v>30522</v>
      </c>
      <c r="AX39" s="18">
        <v>28393</v>
      </c>
      <c r="AY39" s="18">
        <v>25340</v>
      </c>
      <c r="AZ39" s="18">
        <v>19619</v>
      </c>
      <c r="BA39" s="61">
        <v>18029</v>
      </c>
      <c r="BB39" s="61">
        <v>16067</v>
      </c>
      <c r="BC39" s="61">
        <v>14493</v>
      </c>
      <c r="BD39" s="18">
        <v>13429</v>
      </c>
    </row>
    <row r="40" spans="1:56" s="28" customFormat="1" x14ac:dyDescent="0.25">
      <c r="A40" s="28">
        <v>9</v>
      </c>
      <c r="B40" s="28" t="s">
        <v>147</v>
      </c>
      <c r="C40" s="28">
        <f>C33*2276281.41</f>
        <v>382415276.88</v>
      </c>
      <c r="D40" s="28">
        <f t="shared" ref="D40:BA40" si="4">D33*2276281.41</f>
        <v>325508241.63</v>
      </c>
      <c r="E40" s="28">
        <f t="shared" si="4"/>
        <v>416559498.03000003</v>
      </c>
      <c r="F40" s="28">
        <f t="shared" si="4"/>
        <v>471190251.87</v>
      </c>
      <c r="G40" s="28">
        <f t="shared" si="4"/>
        <v>521268442.89000005</v>
      </c>
      <c r="H40" s="28">
        <f t="shared" si="4"/>
        <v>537202412.75999999</v>
      </c>
      <c r="I40" s="28">
        <f t="shared" si="4"/>
        <v>578175478.13999999</v>
      </c>
      <c r="J40" s="28">
        <f t="shared" si="4"/>
        <v>666950453.13</v>
      </c>
      <c r="K40" s="28">
        <f t="shared" si="4"/>
        <v>796698493.5</v>
      </c>
      <c r="L40" s="28">
        <f t="shared" si="4"/>
        <v>796698493.5</v>
      </c>
      <c r="M40" s="28">
        <f t="shared" si="4"/>
        <v>824013870.42000008</v>
      </c>
      <c r="N40" s="28">
        <f t="shared" si="4"/>
        <v>1022050353.09</v>
      </c>
      <c r="O40" s="28">
        <f t="shared" si="4"/>
        <v>1158627237.6900001</v>
      </c>
      <c r="P40" s="28">
        <f t="shared" si="4"/>
        <v>1047089448.6</v>
      </c>
      <c r="Q40" s="28">
        <f t="shared" si="4"/>
        <v>1094891358.21</v>
      </c>
      <c r="R40" s="28">
        <f t="shared" si="4"/>
        <v>994734976.17000008</v>
      </c>
      <c r="S40" s="28">
        <f t="shared" si="4"/>
        <v>801251056.32000005</v>
      </c>
      <c r="T40" s="28">
        <f t="shared" si="4"/>
        <v>758001709.53000009</v>
      </c>
      <c r="U40" s="28">
        <f t="shared" si="4"/>
        <v>769383116.58000004</v>
      </c>
      <c r="V40" s="28">
        <f t="shared" si="4"/>
        <v>924170252.46000004</v>
      </c>
      <c r="W40" s="28">
        <f t="shared" si="4"/>
        <v>908236282.59000003</v>
      </c>
      <c r="X40" s="28">
        <f t="shared" si="4"/>
        <v>958314473.61000001</v>
      </c>
      <c r="Y40" s="28">
        <f t="shared" si="4"/>
        <v>983353569.12000012</v>
      </c>
      <c r="Z40" s="28">
        <f t="shared" si="4"/>
        <v>835395277.47000003</v>
      </c>
      <c r="AA40" s="28">
        <f t="shared" si="4"/>
        <v>805803619.1400001</v>
      </c>
      <c r="AB40" s="28">
        <f t="shared" si="4"/>
        <v>796698493.5</v>
      </c>
      <c r="AC40" s="28">
        <f t="shared" si="4"/>
        <v>908236282.59000003</v>
      </c>
      <c r="AD40" s="28">
        <f t="shared" si="4"/>
        <v>1010668946.0400001</v>
      </c>
      <c r="AE40" s="28">
        <f t="shared" si="4"/>
        <v>1028879197.3200001</v>
      </c>
      <c r="AF40" s="28">
        <f t="shared" si="4"/>
        <v>1229191961.4000001</v>
      </c>
      <c r="AG40" s="28">
        <f t="shared" si="4"/>
        <v>1258783619.73</v>
      </c>
      <c r="AH40" s="28">
        <f t="shared" si="4"/>
        <v>1295204122.2900002</v>
      </c>
      <c r="AI40" s="28">
        <f t="shared" si="4"/>
        <v>1356663720.3600001</v>
      </c>
      <c r="AJ40" s="28">
        <f t="shared" si="4"/>
        <v>1438609851.1200001</v>
      </c>
      <c r="AK40" s="28">
        <f t="shared" si="4"/>
        <v>1317966936.3900001</v>
      </c>
      <c r="AL40" s="28">
        <f t="shared" si="4"/>
        <v>1356663720.3600001</v>
      </c>
      <c r="AM40" s="28">
        <f t="shared" si="4"/>
        <v>1338453469.0800002</v>
      </c>
      <c r="AN40" s="28">
        <f t="shared" si="4"/>
        <v>1140416986.4100001</v>
      </c>
      <c r="AO40" s="28">
        <f t="shared" si="4"/>
        <v>1163179800.51</v>
      </c>
      <c r="AP40" s="28">
        <f t="shared" si="4"/>
        <v>1119930453.72</v>
      </c>
      <c r="AQ40" s="28">
        <f t="shared" si="4"/>
        <v>997011257.58000004</v>
      </c>
      <c r="AR40" s="28">
        <f t="shared" si="4"/>
        <v>1053918292.83</v>
      </c>
      <c r="AS40" s="28">
        <f t="shared" si="4"/>
        <v>1201876584.48</v>
      </c>
      <c r="AT40" s="28">
        <f t="shared" si="4"/>
        <v>1195047740.25</v>
      </c>
      <c r="AU40" s="28">
        <f t="shared" si="4"/>
        <v>1185942614.6100001</v>
      </c>
      <c r="AV40" s="28">
        <f t="shared" si="4"/>
        <v>1256507338.3200002</v>
      </c>
      <c r="AW40" s="28">
        <f t="shared" si="4"/>
        <v>1245125931.27</v>
      </c>
      <c r="AX40" s="28">
        <f t="shared" si="4"/>
        <v>1258783619.73</v>
      </c>
      <c r="AY40" s="28">
        <f t="shared" si="4"/>
        <v>1122206735.1300001</v>
      </c>
      <c r="AZ40" s="28">
        <f t="shared" si="4"/>
        <v>1001563820.4000001</v>
      </c>
      <c r="BA40" s="28">
        <f t="shared" si="4"/>
        <v>969695880.66000009</v>
      </c>
      <c r="BB40" s="28">
        <f>BB33*2276281.41</f>
        <v>905960001.18000007</v>
      </c>
      <c r="BC40" s="28">
        <f>BC33*2276281.41</f>
        <v>846776684.5200001</v>
      </c>
      <c r="BD40" s="28">
        <f>BD33*2276281.41</f>
        <v>880920905.67000008</v>
      </c>
    </row>
    <row r="41" spans="1:56" s="28" customFormat="1" x14ac:dyDescent="0.25">
      <c r="A41" s="28">
        <v>10</v>
      </c>
      <c r="B41" s="28" t="s">
        <v>148</v>
      </c>
      <c r="C41" s="28">
        <f>C34*97123.18</f>
        <v>21755592.32</v>
      </c>
      <c r="D41" s="28">
        <f t="shared" ref="D41:BA41" si="5">D34*97123.18</f>
        <v>25446273.159999996</v>
      </c>
      <c r="E41" s="28">
        <f t="shared" si="5"/>
        <v>27097367.219999999</v>
      </c>
      <c r="F41" s="28">
        <f t="shared" si="5"/>
        <v>29913939.439999998</v>
      </c>
      <c r="G41" s="28">
        <f t="shared" si="5"/>
        <v>33604620.280000001</v>
      </c>
      <c r="H41" s="28">
        <f t="shared" si="5"/>
        <v>47493235.019999996</v>
      </c>
      <c r="I41" s="28">
        <f t="shared" si="5"/>
        <v>53806241.719999999</v>
      </c>
      <c r="J41" s="28">
        <f t="shared" si="5"/>
        <v>69928689.599999994</v>
      </c>
      <c r="K41" s="28">
        <f t="shared" si="5"/>
        <v>94986470.039999992</v>
      </c>
      <c r="L41" s="28">
        <f t="shared" si="5"/>
        <v>109263577.49999999</v>
      </c>
      <c r="M41" s="28">
        <f t="shared" si="5"/>
        <v>90907296.479999989</v>
      </c>
      <c r="N41" s="28">
        <f t="shared" si="5"/>
        <v>96831810.459999993</v>
      </c>
      <c r="O41" s="28">
        <f t="shared" si="5"/>
        <v>102270708.53999999</v>
      </c>
      <c r="P41" s="28">
        <f t="shared" si="5"/>
        <v>109846316.58</v>
      </c>
      <c r="Q41" s="28">
        <f t="shared" si="5"/>
        <v>118393156.41999999</v>
      </c>
      <c r="R41" s="28">
        <f t="shared" si="5"/>
        <v>125191779.02</v>
      </c>
      <c r="S41" s="28">
        <f t="shared" si="5"/>
        <v>128882459.85999998</v>
      </c>
      <c r="T41" s="28">
        <f t="shared" si="5"/>
        <v>139760256.01999998</v>
      </c>
      <c r="U41" s="28">
        <f t="shared" si="5"/>
        <v>143353813.67999998</v>
      </c>
      <c r="V41" s="28">
        <f t="shared" si="5"/>
        <v>158893522.47999999</v>
      </c>
      <c r="W41" s="28">
        <f t="shared" si="5"/>
        <v>163264065.57999998</v>
      </c>
      <c r="X41" s="28">
        <f t="shared" si="5"/>
        <v>160641739.72</v>
      </c>
      <c r="Y41" s="28">
        <f t="shared" si="5"/>
        <v>155008595.28</v>
      </c>
      <c r="Z41" s="28">
        <f t="shared" si="5"/>
        <v>137137930.16</v>
      </c>
      <c r="AA41" s="28">
        <f t="shared" si="5"/>
        <v>159282015.19999999</v>
      </c>
      <c r="AB41" s="28">
        <f t="shared" si="5"/>
        <v>166177760.97999999</v>
      </c>
      <c r="AC41" s="28">
        <f t="shared" si="5"/>
        <v>189098831.45999998</v>
      </c>
      <c r="AD41" s="28">
        <f t="shared" si="5"/>
        <v>183951302.91999999</v>
      </c>
      <c r="AE41" s="28">
        <f t="shared" si="5"/>
        <v>167148992.78</v>
      </c>
      <c r="AF41" s="28">
        <f t="shared" si="5"/>
        <v>173170629.94</v>
      </c>
      <c r="AG41" s="28">
        <f t="shared" si="5"/>
        <v>212214148.29999998</v>
      </c>
      <c r="AH41" s="28">
        <f t="shared" si="5"/>
        <v>216487568.22</v>
      </c>
      <c r="AI41" s="28">
        <f t="shared" si="5"/>
        <v>221440850.39999998</v>
      </c>
      <c r="AJ41" s="28">
        <f t="shared" si="5"/>
        <v>212214148.29999998</v>
      </c>
      <c r="AK41" s="28">
        <f t="shared" si="5"/>
        <v>197839917.66</v>
      </c>
      <c r="AL41" s="28">
        <f t="shared" si="5"/>
        <v>206872373.39999998</v>
      </c>
      <c r="AM41" s="28">
        <f t="shared" si="5"/>
        <v>185213904.25999999</v>
      </c>
      <c r="AN41" s="28">
        <f t="shared" si="5"/>
        <v>176084325.33999997</v>
      </c>
      <c r="AO41" s="28">
        <f t="shared" si="5"/>
        <v>165789268.25999999</v>
      </c>
      <c r="AP41" s="28">
        <f t="shared" si="5"/>
        <v>143936552.75999999</v>
      </c>
      <c r="AQ41" s="28">
        <f t="shared" si="5"/>
        <v>146461755.44</v>
      </c>
      <c r="AR41" s="28">
        <f t="shared" si="5"/>
        <v>141119980.53999999</v>
      </c>
      <c r="AS41" s="28">
        <f t="shared" si="5"/>
        <v>132476017.52</v>
      </c>
      <c r="AT41" s="28">
        <f t="shared" si="5"/>
        <v>130630677.09999999</v>
      </c>
      <c r="AU41" s="28">
        <f t="shared" si="5"/>
        <v>127814104.88</v>
      </c>
      <c r="AV41" s="28">
        <f t="shared" si="5"/>
        <v>122957945.88</v>
      </c>
      <c r="AW41" s="28">
        <f t="shared" si="5"/>
        <v>114411106.03999999</v>
      </c>
      <c r="AX41" s="28">
        <f t="shared" si="5"/>
        <v>114508229.22</v>
      </c>
      <c r="AY41" s="28">
        <f t="shared" si="5"/>
        <v>109457823.86</v>
      </c>
      <c r="AZ41" s="28">
        <f t="shared" si="5"/>
        <v>112274396.08</v>
      </c>
      <c r="BA41" s="28">
        <f t="shared" si="5"/>
        <v>119267265.03999999</v>
      </c>
      <c r="BB41" s="28">
        <f>BB34*97123.18</f>
        <v>116159323.27999999</v>
      </c>
      <c r="BC41" s="28">
        <f>BC34*97123.18</f>
        <v>120044250.47999999</v>
      </c>
      <c r="BD41" s="28">
        <f>BD34*97123.18</f>
        <v>113536997.41999999</v>
      </c>
    </row>
    <row r="42" spans="1:56" s="28" customFormat="1" x14ac:dyDescent="0.25">
      <c r="A42" s="28">
        <v>11</v>
      </c>
      <c r="B42" s="28" t="s">
        <v>149</v>
      </c>
      <c r="C42" s="28">
        <f>C35*7686.44</f>
        <v>8900897.5199999996</v>
      </c>
      <c r="D42" s="28">
        <f t="shared" ref="D42:BA42" si="6">D35*7686.44</f>
        <v>10222965.199999999</v>
      </c>
      <c r="E42" s="28">
        <f t="shared" si="6"/>
        <v>10299829.6</v>
      </c>
      <c r="F42" s="28">
        <f t="shared" si="6"/>
        <v>13228363.24</v>
      </c>
      <c r="G42" s="28">
        <f t="shared" si="6"/>
        <v>15688024.039999999</v>
      </c>
      <c r="H42" s="28">
        <f t="shared" si="6"/>
        <v>22436718.359999999</v>
      </c>
      <c r="I42" s="28">
        <f t="shared" si="6"/>
        <v>34358386.799999997</v>
      </c>
      <c r="J42" s="28">
        <f t="shared" si="6"/>
        <v>60023409.959999993</v>
      </c>
      <c r="K42" s="28">
        <f t="shared" si="6"/>
        <v>79593086.200000003</v>
      </c>
      <c r="L42" s="28">
        <f t="shared" si="6"/>
        <v>85211873.839999989</v>
      </c>
      <c r="M42" s="28">
        <f t="shared" si="6"/>
        <v>102075923.19999999</v>
      </c>
      <c r="N42" s="28">
        <f t="shared" si="6"/>
        <v>100039016.59999999</v>
      </c>
      <c r="O42" s="28">
        <f t="shared" si="6"/>
        <v>101030567.36</v>
      </c>
      <c r="P42" s="28">
        <f t="shared" si="6"/>
        <v>94343364.560000002</v>
      </c>
      <c r="Q42" s="28">
        <f t="shared" si="6"/>
        <v>113490286.59999999</v>
      </c>
      <c r="R42" s="28">
        <f t="shared" si="6"/>
        <v>108432609.08</v>
      </c>
      <c r="S42" s="28">
        <f t="shared" si="6"/>
        <v>94135830.679999992</v>
      </c>
      <c r="T42" s="28">
        <f t="shared" si="6"/>
        <v>92913686.719999999</v>
      </c>
      <c r="U42" s="28">
        <f t="shared" si="6"/>
        <v>98601652.319999993</v>
      </c>
      <c r="V42" s="28">
        <f t="shared" si="6"/>
        <v>105611685.59999999</v>
      </c>
      <c r="W42" s="28">
        <f t="shared" si="6"/>
        <v>126526488.83999999</v>
      </c>
      <c r="X42" s="28">
        <f t="shared" si="6"/>
        <v>139009267.40000001</v>
      </c>
      <c r="Y42" s="28">
        <f t="shared" si="6"/>
        <v>118194387.88</v>
      </c>
      <c r="Z42" s="28">
        <f t="shared" si="6"/>
        <v>114912278</v>
      </c>
      <c r="AA42" s="28">
        <f t="shared" si="6"/>
        <v>100669304.67999999</v>
      </c>
      <c r="AB42" s="28">
        <f t="shared" si="6"/>
        <v>102045177.44</v>
      </c>
      <c r="AC42" s="28">
        <f t="shared" si="6"/>
        <v>104304990.8</v>
      </c>
      <c r="AD42" s="28">
        <f t="shared" si="6"/>
        <v>102713897.72</v>
      </c>
      <c r="AE42" s="28">
        <f t="shared" si="6"/>
        <v>107540982.03999999</v>
      </c>
      <c r="AF42" s="28">
        <f t="shared" si="6"/>
        <v>119785480.95999999</v>
      </c>
      <c r="AG42" s="28">
        <f t="shared" si="6"/>
        <v>133690250.91999999</v>
      </c>
      <c r="AH42" s="28">
        <f t="shared" si="6"/>
        <v>152045469.63999999</v>
      </c>
      <c r="AI42" s="28">
        <f t="shared" si="6"/>
        <v>161830307.75999999</v>
      </c>
      <c r="AJ42" s="28">
        <f t="shared" si="6"/>
        <v>165873375.19999999</v>
      </c>
      <c r="AK42" s="28">
        <f t="shared" si="6"/>
        <v>154851020.23999998</v>
      </c>
      <c r="AL42" s="28">
        <f t="shared" si="6"/>
        <v>163959451.63999999</v>
      </c>
      <c r="AM42" s="28">
        <f t="shared" si="6"/>
        <v>153229181.40000001</v>
      </c>
      <c r="AN42" s="28">
        <f t="shared" si="6"/>
        <v>131883937.52</v>
      </c>
      <c r="AO42" s="28">
        <f t="shared" si="6"/>
        <v>117625591.31999999</v>
      </c>
      <c r="AP42" s="28">
        <f t="shared" si="6"/>
        <v>108563278.55999999</v>
      </c>
      <c r="AQ42" s="28">
        <f t="shared" si="6"/>
        <v>105358033.08</v>
      </c>
      <c r="AR42" s="28">
        <f t="shared" si="6"/>
        <v>109547142.88</v>
      </c>
      <c r="AS42" s="28">
        <f t="shared" si="6"/>
        <v>105204304.28</v>
      </c>
      <c r="AT42" s="28">
        <f t="shared" si="6"/>
        <v>102245024.88</v>
      </c>
      <c r="AU42" s="28">
        <f t="shared" si="6"/>
        <v>98086660.839999989</v>
      </c>
      <c r="AV42" s="28">
        <f t="shared" si="6"/>
        <v>110515634.31999999</v>
      </c>
      <c r="AW42" s="28">
        <f t="shared" si="6"/>
        <v>110492575</v>
      </c>
      <c r="AX42" s="28">
        <f t="shared" si="6"/>
        <v>101906821.52</v>
      </c>
      <c r="AY42" s="28">
        <f t="shared" si="6"/>
        <v>101484067.31999999</v>
      </c>
      <c r="AZ42" s="28">
        <f t="shared" si="6"/>
        <v>92291085.079999998</v>
      </c>
      <c r="BA42" s="28">
        <f t="shared" si="6"/>
        <v>84958221.319999993</v>
      </c>
      <c r="BB42" s="28">
        <f>BB35*7686.44</f>
        <v>79462416.719999999</v>
      </c>
      <c r="BC42" s="28">
        <f>BC35*7686.44</f>
        <v>78178781.239999995</v>
      </c>
      <c r="BD42" s="28">
        <f>BD35*7686.44</f>
        <v>77494688.079999998</v>
      </c>
    </row>
    <row r="43" spans="1:56" s="28" customFormat="1" x14ac:dyDescent="0.25">
      <c r="A43" s="28">
        <v>12</v>
      </c>
      <c r="B43" s="28" t="s">
        <v>150</v>
      </c>
      <c r="C43" s="28">
        <f>C36*9326.21</f>
        <v>29293625.609999996</v>
      </c>
      <c r="D43" s="28">
        <f>D36*9326.21</f>
        <v>30067701.039999995</v>
      </c>
      <c r="E43" s="28">
        <f>E36*9326.21</f>
        <v>29032491.729999997</v>
      </c>
      <c r="F43" s="28">
        <f>F36*9326.21</f>
        <v>28416961.869999997</v>
      </c>
      <c r="G43" s="28">
        <f>G36*9326.21</f>
        <v>45045594.299999997</v>
      </c>
      <c r="H43" s="28">
        <f t="shared" ref="H43:BA43" si="7">H36*9326.21</f>
        <v>59575829.479999997</v>
      </c>
      <c r="I43" s="28">
        <f t="shared" si="7"/>
        <v>55565559.179999992</v>
      </c>
      <c r="J43" s="28">
        <f t="shared" si="7"/>
        <v>80541149.559999987</v>
      </c>
      <c r="K43" s="28">
        <f t="shared" si="7"/>
        <v>109321833.61999999</v>
      </c>
      <c r="L43" s="28">
        <f t="shared" si="7"/>
        <v>109433748.13999999</v>
      </c>
      <c r="M43" s="28">
        <f t="shared" si="7"/>
        <v>92646570.139999986</v>
      </c>
      <c r="N43" s="28">
        <f t="shared" si="7"/>
        <v>96955279.159999996</v>
      </c>
      <c r="O43" s="28">
        <f t="shared" si="7"/>
        <v>109172614.25999999</v>
      </c>
      <c r="P43" s="28">
        <f t="shared" si="7"/>
        <v>114040895.88</v>
      </c>
      <c r="Q43" s="28">
        <f t="shared" si="7"/>
        <v>120998248.53999999</v>
      </c>
      <c r="R43" s="28">
        <f t="shared" si="7"/>
        <v>123609587.33999999</v>
      </c>
      <c r="S43" s="28">
        <f t="shared" si="7"/>
        <v>114926885.82999998</v>
      </c>
      <c r="T43" s="28">
        <f t="shared" si="7"/>
        <v>138550175.75999999</v>
      </c>
      <c r="U43" s="28">
        <f t="shared" si="7"/>
        <v>146290930.05999997</v>
      </c>
      <c r="V43" s="28">
        <f t="shared" si="7"/>
        <v>160643967.24999997</v>
      </c>
      <c r="W43" s="28">
        <f t="shared" si="7"/>
        <v>160354854.73999998</v>
      </c>
      <c r="X43" s="28">
        <f t="shared" si="7"/>
        <v>164514344.39999998</v>
      </c>
      <c r="Y43" s="28">
        <f t="shared" si="7"/>
        <v>175789732.28999999</v>
      </c>
      <c r="Z43" s="28">
        <f t="shared" si="7"/>
        <v>167937063.47</v>
      </c>
      <c r="AA43" s="28">
        <f t="shared" si="7"/>
        <v>180592730.44</v>
      </c>
      <c r="AB43" s="28">
        <f t="shared" si="7"/>
        <v>199814049.24999997</v>
      </c>
      <c r="AC43" s="28">
        <f t="shared" si="7"/>
        <v>197958133.45999998</v>
      </c>
      <c r="AD43" s="28">
        <f t="shared" si="7"/>
        <v>182765737.36999997</v>
      </c>
      <c r="AE43" s="28">
        <f t="shared" si="7"/>
        <v>198555010.89999998</v>
      </c>
      <c r="AF43" s="28">
        <f t="shared" si="7"/>
        <v>207097819.25999999</v>
      </c>
      <c r="AG43" s="28">
        <f t="shared" si="7"/>
        <v>222308867.76999998</v>
      </c>
      <c r="AH43" s="28">
        <f t="shared" si="7"/>
        <v>222392803.65999997</v>
      </c>
      <c r="AI43" s="28">
        <f t="shared" si="7"/>
        <v>234181133.09999996</v>
      </c>
      <c r="AJ43" s="28">
        <f t="shared" si="7"/>
        <v>234656769.80999997</v>
      </c>
      <c r="AK43" s="28">
        <f t="shared" si="7"/>
        <v>230282777.31999999</v>
      </c>
      <c r="AL43" s="28">
        <f t="shared" si="7"/>
        <v>239674270.78999999</v>
      </c>
      <c r="AM43" s="28">
        <f t="shared" si="7"/>
        <v>231271355.57999998</v>
      </c>
      <c r="AN43" s="28">
        <f t="shared" si="7"/>
        <v>220229122.93999997</v>
      </c>
      <c r="AO43" s="28">
        <f t="shared" si="7"/>
        <v>216927644.59999999</v>
      </c>
      <c r="AP43" s="28">
        <f t="shared" si="7"/>
        <v>243460712.04999998</v>
      </c>
      <c r="AQ43" s="28">
        <f t="shared" si="7"/>
        <v>244356028.20999998</v>
      </c>
      <c r="AR43" s="28">
        <f t="shared" si="7"/>
        <v>249457465.07999998</v>
      </c>
      <c r="AS43" s="28">
        <f t="shared" si="7"/>
        <v>249093742.88999999</v>
      </c>
      <c r="AT43" s="28">
        <f t="shared" si="7"/>
        <v>220033272.52999997</v>
      </c>
      <c r="AU43" s="28">
        <f t="shared" si="7"/>
        <v>226990625.18999997</v>
      </c>
      <c r="AV43" s="28">
        <f t="shared" si="7"/>
        <v>216116264.32999998</v>
      </c>
      <c r="AW43" s="28">
        <f t="shared" si="7"/>
        <v>205279208.30999997</v>
      </c>
      <c r="AX43" s="28">
        <f t="shared" si="7"/>
        <v>196540549.53999999</v>
      </c>
      <c r="AY43" s="28">
        <f t="shared" si="7"/>
        <v>191849465.91</v>
      </c>
      <c r="AZ43" s="28">
        <f t="shared" si="7"/>
        <v>186738702.82999998</v>
      </c>
      <c r="BA43" s="28">
        <f t="shared" si="7"/>
        <v>176246716.57999998</v>
      </c>
      <c r="BB43" s="28">
        <f>BB36*9326.21</f>
        <v>157295857.85999998</v>
      </c>
      <c r="BC43" s="28">
        <f>BC36*9326.21</f>
        <v>152017223</v>
      </c>
      <c r="BD43" s="28">
        <f>BD36*9326.21</f>
        <v>149984109.22</v>
      </c>
    </row>
    <row r="44" spans="1:56" s="28" customFormat="1" x14ac:dyDescent="0.25">
      <c r="A44" s="28">
        <v>13</v>
      </c>
      <c r="B44" s="28" t="s">
        <v>151</v>
      </c>
      <c r="C44" s="28">
        <f>C37*1513.45</f>
        <v>17192792</v>
      </c>
      <c r="D44" s="28">
        <f>D37*1513.45</f>
        <v>18688080.600000001</v>
      </c>
      <c r="E44" s="28">
        <f t="shared" ref="E44:BA44" si="8">E37*1513.45</f>
        <v>19502316.699999999</v>
      </c>
      <c r="F44" s="28">
        <f t="shared" si="8"/>
        <v>24166769.600000001</v>
      </c>
      <c r="G44" s="28">
        <f t="shared" si="8"/>
        <v>28354485.75</v>
      </c>
      <c r="H44" s="28">
        <f t="shared" si="8"/>
        <v>34013275.300000004</v>
      </c>
      <c r="I44" s="28">
        <f t="shared" si="8"/>
        <v>41247566.300000004</v>
      </c>
      <c r="J44" s="28">
        <f t="shared" si="8"/>
        <v>56551572.700000003</v>
      </c>
      <c r="K44" s="28">
        <f t="shared" si="8"/>
        <v>73986516.700000003</v>
      </c>
      <c r="L44" s="28">
        <f t="shared" si="8"/>
        <v>63519496.5</v>
      </c>
      <c r="M44" s="28">
        <f t="shared" si="8"/>
        <v>62405597.300000004</v>
      </c>
      <c r="N44" s="28">
        <f t="shared" si="8"/>
        <v>67953905</v>
      </c>
      <c r="O44" s="28">
        <f t="shared" si="8"/>
        <v>68241460.5</v>
      </c>
      <c r="P44" s="28">
        <f t="shared" si="8"/>
        <v>70502554.799999997</v>
      </c>
      <c r="Q44" s="28">
        <f t="shared" si="8"/>
        <v>86921973.850000009</v>
      </c>
      <c r="R44" s="28">
        <f t="shared" si="8"/>
        <v>87646916.400000006</v>
      </c>
      <c r="S44" s="28">
        <f t="shared" si="8"/>
        <v>85291988.200000003</v>
      </c>
      <c r="T44" s="28">
        <f t="shared" si="8"/>
        <v>87698373.700000003</v>
      </c>
      <c r="U44" s="28">
        <f t="shared" si="8"/>
        <v>89152799.150000006</v>
      </c>
      <c r="V44" s="28">
        <f t="shared" si="8"/>
        <v>94787373.5</v>
      </c>
      <c r="W44" s="28">
        <f t="shared" si="8"/>
        <v>107731911.35000001</v>
      </c>
      <c r="X44" s="28">
        <f t="shared" si="8"/>
        <v>107061453</v>
      </c>
      <c r="Y44" s="28">
        <f t="shared" si="8"/>
        <v>91634857.150000006</v>
      </c>
      <c r="Z44" s="28">
        <f t="shared" si="8"/>
        <v>79754274.650000006</v>
      </c>
      <c r="AA44" s="28">
        <f t="shared" si="8"/>
        <v>77918459.799999997</v>
      </c>
      <c r="AB44" s="28">
        <f t="shared" si="8"/>
        <v>80467109.600000009</v>
      </c>
      <c r="AC44" s="28">
        <f t="shared" si="8"/>
        <v>84141766.200000003</v>
      </c>
      <c r="AD44" s="28">
        <f t="shared" si="8"/>
        <v>80554889.700000003</v>
      </c>
      <c r="AE44" s="28">
        <f t="shared" si="8"/>
        <v>82779661.200000003</v>
      </c>
      <c r="AF44" s="28">
        <f t="shared" si="8"/>
        <v>79755788.100000009</v>
      </c>
      <c r="AG44" s="28">
        <f t="shared" si="8"/>
        <v>81025572.650000006</v>
      </c>
      <c r="AH44" s="28">
        <f t="shared" si="8"/>
        <v>85139129.75</v>
      </c>
      <c r="AI44" s="28">
        <f t="shared" si="8"/>
        <v>84028257.450000003</v>
      </c>
      <c r="AJ44" s="28">
        <f t="shared" si="8"/>
        <v>85111887.650000006</v>
      </c>
      <c r="AK44" s="28">
        <f t="shared" si="8"/>
        <v>79039926.25</v>
      </c>
      <c r="AL44" s="28">
        <f t="shared" si="8"/>
        <v>80683532.950000003</v>
      </c>
      <c r="AM44" s="28">
        <f t="shared" si="8"/>
        <v>76150750.200000003</v>
      </c>
      <c r="AN44" s="28">
        <f t="shared" si="8"/>
        <v>72401934.549999997</v>
      </c>
      <c r="AO44" s="28">
        <f t="shared" si="8"/>
        <v>71487810.75</v>
      </c>
      <c r="AP44" s="28">
        <f t="shared" si="8"/>
        <v>66030310.050000004</v>
      </c>
      <c r="AQ44" s="28">
        <f t="shared" si="8"/>
        <v>60014346.300000004</v>
      </c>
      <c r="AR44" s="28">
        <f t="shared" si="8"/>
        <v>64774146.550000004</v>
      </c>
      <c r="AS44" s="28">
        <f t="shared" si="8"/>
        <v>60115747.450000003</v>
      </c>
      <c r="AT44" s="28">
        <f t="shared" si="8"/>
        <v>59169841.200000003</v>
      </c>
      <c r="AU44" s="28">
        <f t="shared" si="8"/>
        <v>55516372.899999999</v>
      </c>
      <c r="AV44" s="28">
        <f t="shared" si="8"/>
        <v>54364637.450000003</v>
      </c>
      <c r="AW44" s="28">
        <f t="shared" si="8"/>
        <v>56689296.649999999</v>
      </c>
      <c r="AX44" s="28">
        <f t="shared" si="8"/>
        <v>56141427.75</v>
      </c>
      <c r="AY44" s="28">
        <f t="shared" si="8"/>
        <v>58796019.050000004</v>
      </c>
      <c r="AZ44" s="28">
        <f t="shared" si="8"/>
        <v>55853872.25</v>
      </c>
      <c r="BA44" s="28">
        <f t="shared" si="8"/>
        <v>55543615</v>
      </c>
      <c r="BB44" s="28">
        <f>BB37*1513.45</f>
        <v>54152754.450000003</v>
      </c>
      <c r="BC44" s="28">
        <f>BC37*1513.45</f>
        <v>50658198.399999999</v>
      </c>
      <c r="BD44" s="28">
        <f>BD37*1513.45</f>
        <v>48262407.050000004</v>
      </c>
    </row>
    <row r="45" spans="1:56" s="28" customFormat="1" x14ac:dyDescent="0.25">
      <c r="A45" s="28">
        <v>14</v>
      </c>
      <c r="B45" s="28" t="s">
        <v>152</v>
      </c>
      <c r="C45" s="28">
        <f>C38*321.76</f>
        <v>9660522.2400000002</v>
      </c>
      <c r="D45" s="28">
        <f t="shared" ref="D45:BA45" si="9">D38*321.76</f>
        <v>10766411.359999999</v>
      </c>
      <c r="E45" s="28">
        <f t="shared" si="9"/>
        <v>11679244.48</v>
      </c>
      <c r="F45" s="28">
        <f t="shared" si="9"/>
        <v>13316681.119999999</v>
      </c>
      <c r="G45" s="28">
        <f t="shared" si="9"/>
        <v>14952508.959999999</v>
      </c>
      <c r="H45" s="28">
        <f t="shared" si="9"/>
        <v>17320662.559999999</v>
      </c>
      <c r="I45" s="28">
        <f t="shared" si="9"/>
        <v>19392475.199999999</v>
      </c>
      <c r="J45" s="28">
        <f t="shared" si="9"/>
        <v>22892258.719999999</v>
      </c>
      <c r="K45" s="28">
        <f t="shared" si="9"/>
        <v>24788712.16</v>
      </c>
      <c r="L45" s="28">
        <f t="shared" si="9"/>
        <v>26902353.599999998</v>
      </c>
      <c r="M45" s="28">
        <f t="shared" si="9"/>
        <v>30507996.16</v>
      </c>
      <c r="N45" s="28">
        <f t="shared" si="9"/>
        <v>32542162.879999999</v>
      </c>
      <c r="O45" s="28">
        <f t="shared" si="9"/>
        <v>30429164.960000001</v>
      </c>
      <c r="P45" s="28">
        <f t="shared" si="9"/>
        <v>32187583.359999999</v>
      </c>
      <c r="Q45" s="28">
        <f t="shared" si="9"/>
        <v>38792029.119999997</v>
      </c>
      <c r="R45" s="28">
        <f t="shared" si="9"/>
        <v>43086238.079999998</v>
      </c>
      <c r="S45" s="28">
        <f t="shared" si="9"/>
        <v>43230064.799999997</v>
      </c>
      <c r="T45" s="28">
        <f t="shared" si="9"/>
        <v>42319805.759999998</v>
      </c>
      <c r="U45" s="28">
        <f t="shared" si="9"/>
        <v>43123562.240000002</v>
      </c>
      <c r="V45" s="28">
        <f t="shared" si="9"/>
        <v>46750762.719999999</v>
      </c>
      <c r="W45" s="28">
        <f t="shared" si="9"/>
        <v>48953853.439999998</v>
      </c>
      <c r="X45" s="28">
        <f t="shared" si="9"/>
        <v>49037832.799999997</v>
      </c>
      <c r="Y45" s="28">
        <f t="shared" si="9"/>
        <v>45980469.280000001</v>
      </c>
      <c r="Z45" s="28">
        <f t="shared" si="9"/>
        <v>41006059.68</v>
      </c>
      <c r="AA45" s="28">
        <f t="shared" si="9"/>
        <v>39758917.920000002</v>
      </c>
      <c r="AB45" s="28">
        <f t="shared" si="9"/>
        <v>40603859.68</v>
      </c>
      <c r="AC45" s="28">
        <f t="shared" si="9"/>
        <v>42761582.240000002</v>
      </c>
      <c r="AD45" s="28">
        <f t="shared" si="9"/>
        <v>44037038.879999995</v>
      </c>
      <c r="AE45" s="28">
        <f t="shared" si="9"/>
        <v>45502012.159999996</v>
      </c>
      <c r="AF45" s="28">
        <f t="shared" si="9"/>
        <v>44058275.039999999</v>
      </c>
      <c r="AG45" s="28">
        <f t="shared" si="9"/>
        <v>47424206.399999999</v>
      </c>
      <c r="AH45" s="28">
        <f t="shared" si="9"/>
        <v>52628352.640000001</v>
      </c>
      <c r="AI45" s="28">
        <f t="shared" si="9"/>
        <v>53166335.359999999</v>
      </c>
      <c r="AJ45" s="28">
        <f t="shared" si="9"/>
        <v>52589419.68</v>
      </c>
      <c r="AK45" s="28">
        <f t="shared" si="9"/>
        <v>54238439.68</v>
      </c>
      <c r="AL45" s="28">
        <f t="shared" si="9"/>
        <v>57300951.359999999</v>
      </c>
      <c r="AM45" s="28">
        <f t="shared" si="9"/>
        <v>56399058.079999998</v>
      </c>
      <c r="AN45" s="28">
        <f t="shared" si="9"/>
        <v>53429535.039999999</v>
      </c>
      <c r="AO45" s="28">
        <f t="shared" si="9"/>
        <v>50976758.559999995</v>
      </c>
      <c r="AP45" s="28">
        <f t="shared" si="9"/>
        <v>48270435.199999996</v>
      </c>
      <c r="AQ45" s="28">
        <f t="shared" si="9"/>
        <v>47027154.560000002</v>
      </c>
      <c r="AR45" s="28">
        <f t="shared" si="9"/>
        <v>47489845.439999998</v>
      </c>
      <c r="AS45" s="28">
        <f t="shared" si="9"/>
        <v>46357250.240000002</v>
      </c>
      <c r="AT45" s="28">
        <f t="shared" si="9"/>
        <v>43234569.439999998</v>
      </c>
      <c r="AU45" s="28">
        <f t="shared" si="9"/>
        <v>41759943.359999999</v>
      </c>
      <c r="AV45" s="28">
        <f t="shared" si="9"/>
        <v>41340690.079999998</v>
      </c>
      <c r="AW45" s="28">
        <f t="shared" si="9"/>
        <v>41024400</v>
      </c>
      <c r="AX45" s="28">
        <f t="shared" si="9"/>
        <v>40962300.32</v>
      </c>
      <c r="AY45" s="28">
        <f t="shared" si="9"/>
        <v>43110370.079999998</v>
      </c>
      <c r="AZ45" s="28">
        <f t="shared" si="9"/>
        <v>40468076.960000001</v>
      </c>
      <c r="BA45" s="28">
        <f t="shared" si="9"/>
        <v>38155266.079999998</v>
      </c>
      <c r="BB45" s="28">
        <f>BB38*321.76</f>
        <v>36960892.960000001</v>
      </c>
      <c r="BC45" s="28">
        <f>BC38*321.76</f>
        <v>36607278.719999999</v>
      </c>
      <c r="BD45" s="28">
        <f>BD38*321.76</f>
        <v>36160675.839999996</v>
      </c>
    </row>
    <row r="46" spans="1:56" s="28" customFormat="1" x14ac:dyDescent="0.25">
      <c r="A46" s="28">
        <v>15</v>
      </c>
      <c r="B46" s="28" t="s">
        <v>153</v>
      </c>
      <c r="C46" s="28">
        <f>C39*4290.1</f>
        <v>24487890.800000001</v>
      </c>
      <c r="D46" s="28">
        <f t="shared" ref="D46:BA46" si="10">D39*4290.1</f>
        <v>27014759.700000003</v>
      </c>
      <c r="E46" s="28">
        <f t="shared" si="10"/>
        <v>26710162.600000001</v>
      </c>
      <c r="F46" s="28">
        <f t="shared" si="10"/>
        <v>33522841.400000002</v>
      </c>
      <c r="G46" s="28">
        <f t="shared" si="10"/>
        <v>39756356.700000003</v>
      </c>
      <c r="H46" s="28">
        <f t="shared" si="10"/>
        <v>46191506.700000003</v>
      </c>
      <c r="I46" s="28">
        <f t="shared" si="10"/>
        <v>66676734.200000003</v>
      </c>
      <c r="J46" s="28">
        <f t="shared" si="10"/>
        <v>77260410.900000006</v>
      </c>
      <c r="K46" s="28">
        <f t="shared" si="10"/>
        <v>97509682.900000006</v>
      </c>
      <c r="L46" s="28">
        <f t="shared" si="10"/>
        <v>95716421.100000009</v>
      </c>
      <c r="M46" s="28">
        <f t="shared" si="10"/>
        <v>92142767.800000012</v>
      </c>
      <c r="N46" s="28">
        <f t="shared" si="10"/>
        <v>90400987.200000003</v>
      </c>
      <c r="O46" s="28">
        <f t="shared" si="10"/>
        <v>92953596.700000003</v>
      </c>
      <c r="P46" s="28">
        <f t="shared" si="10"/>
        <v>95656359.700000003</v>
      </c>
      <c r="Q46" s="28">
        <f t="shared" si="10"/>
        <v>102456168.2</v>
      </c>
      <c r="R46" s="28">
        <f t="shared" si="10"/>
        <v>90872898.200000003</v>
      </c>
      <c r="S46" s="28">
        <f t="shared" si="10"/>
        <v>76243657.200000003</v>
      </c>
      <c r="T46" s="28">
        <f t="shared" si="10"/>
        <v>76080633.400000006</v>
      </c>
      <c r="U46" s="28">
        <f t="shared" si="10"/>
        <v>75501469.900000006</v>
      </c>
      <c r="V46" s="28">
        <f t="shared" si="10"/>
        <v>86797303.200000003</v>
      </c>
      <c r="W46" s="28">
        <f t="shared" si="10"/>
        <v>81027118.700000003</v>
      </c>
      <c r="X46" s="28">
        <f t="shared" si="10"/>
        <v>79281048</v>
      </c>
      <c r="Y46" s="28">
        <f t="shared" si="10"/>
        <v>71747632.400000006</v>
      </c>
      <c r="Z46" s="28">
        <f t="shared" si="10"/>
        <v>67303088.800000012</v>
      </c>
      <c r="AA46" s="28">
        <f t="shared" si="10"/>
        <v>74107187.400000006</v>
      </c>
      <c r="AB46" s="28">
        <f t="shared" si="10"/>
        <v>86938876.5</v>
      </c>
      <c r="AC46" s="28">
        <f t="shared" si="10"/>
        <v>104382423.10000001</v>
      </c>
      <c r="AD46" s="28">
        <f t="shared" si="10"/>
        <v>113340151.90000001</v>
      </c>
      <c r="AE46" s="28">
        <f t="shared" si="10"/>
        <v>133842539.80000001</v>
      </c>
      <c r="AF46" s="28">
        <f t="shared" si="10"/>
        <v>133692386.30000001</v>
      </c>
      <c r="AG46" s="28">
        <f t="shared" si="10"/>
        <v>145370038.5</v>
      </c>
      <c r="AH46" s="28">
        <f t="shared" si="10"/>
        <v>152371481.70000002</v>
      </c>
      <c r="AI46" s="28">
        <f t="shared" si="10"/>
        <v>152972095.70000002</v>
      </c>
      <c r="AJ46" s="28">
        <f t="shared" si="10"/>
        <v>145545932.60000002</v>
      </c>
      <c r="AK46" s="28">
        <f t="shared" si="10"/>
        <v>163856079.40000001</v>
      </c>
      <c r="AL46" s="28">
        <f t="shared" si="10"/>
        <v>155198657.60000002</v>
      </c>
      <c r="AM46" s="28">
        <f t="shared" si="10"/>
        <v>154769647.60000002</v>
      </c>
      <c r="AN46" s="28">
        <f t="shared" si="10"/>
        <v>131474404.60000001</v>
      </c>
      <c r="AO46" s="28">
        <f t="shared" si="10"/>
        <v>120723414.00000001</v>
      </c>
      <c r="AP46" s="28">
        <f t="shared" si="10"/>
        <v>111830036.7</v>
      </c>
      <c r="AQ46" s="28">
        <f t="shared" si="10"/>
        <v>122791242.2</v>
      </c>
      <c r="AR46" s="28">
        <f t="shared" si="10"/>
        <v>142813138.90000001</v>
      </c>
      <c r="AS46" s="28">
        <f t="shared" si="10"/>
        <v>153937368.20000002</v>
      </c>
      <c r="AT46" s="28">
        <f t="shared" si="10"/>
        <v>156185380.60000002</v>
      </c>
      <c r="AU46" s="28">
        <f t="shared" si="10"/>
        <v>153834405.80000001</v>
      </c>
      <c r="AV46" s="28">
        <f t="shared" si="10"/>
        <v>146163707</v>
      </c>
      <c r="AW46" s="28">
        <f t="shared" si="10"/>
        <v>130942432.20000002</v>
      </c>
      <c r="AX46" s="28">
        <f t="shared" si="10"/>
        <v>121808809.30000001</v>
      </c>
      <c r="AY46" s="28">
        <f t="shared" si="10"/>
        <v>108711134.00000001</v>
      </c>
      <c r="AZ46" s="28">
        <f t="shared" si="10"/>
        <v>84167471.900000006</v>
      </c>
      <c r="BA46" s="28">
        <f t="shared" si="10"/>
        <v>77346212.900000006</v>
      </c>
      <c r="BB46" s="28">
        <f>BB39*4290.1</f>
        <v>68929036.700000003</v>
      </c>
      <c r="BC46" s="28">
        <f>BC39*4290.1</f>
        <v>62176419.300000004</v>
      </c>
      <c r="BD46" s="28">
        <f>BD39*4290.1</f>
        <v>57611752.900000006</v>
      </c>
    </row>
    <row r="47" spans="1:56" s="21" customFormat="1" x14ac:dyDescent="0.25">
      <c r="A47" s="21">
        <v>16</v>
      </c>
      <c r="B47" s="21" t="s">
        <v>154</v>
      </c>
      <c r="C47" s="21">
        <f t="shared" ref="C47:BC47" si="11">C42+C44+C45+C46+C41+C40+C43</f>
        <v>493706597.37</v>
      </c>
      <c r="D47" s="21">
        <f t="shared" si="11"/>
        <v>447714432.69</v>
      </c>
      <c r="E47" s="21">
        <f t="shared" si="11"/>
        <v>540880910.36000001</v>
      </c>
      <c r="F47" s="21">
        <f t="shared" si="11"/>
        <v>613755808.53999996</v>
      </c>
      <c r="G47" s="21">
        <f t="shared" si="11"/>
        <v>698670032.91999996</v>
      </c>
      <c r="H47" s="21">
        <f t="shared" si="11"/>
        <v>764233640.18000007</v>
      </c>
      <c r="I47" s="21">
        <f t="shared" si="11"/>
        <v>849222441.53999996</v>
      </c>
      <c r="J47" s="21">
        <f t="shared" si="11"/>
        <v>1034147944.5699999</v>
      </c>
      <c r="K47" s="21">
        <f t="shared" si="11"/>
        <v>1276884795.1199999</v>
      </c>
      <c r="L47" s="21">
        <f t="shared" si="11"/>
        <v>1286745964.1799998</v>
      </c>
      <c r="M47" s="21">
        <f t="shared" si="11"/>
        <v>1294700021.5</v>
      </c>
      <c r="N47" s="21">
        <f t="shared" si="11"/>
        <v>1506773514.3900001</v>
      </c>
      <c r="O47" s="21">
        <f t="shared" si="11"/>
        <v>1662725350.01</v>
      </c>
      <c r="P47" s="21">
        <f t="shared" si="11"/>
        <v>1563666523.48</v>
      </c>
      <c r="Q47" s="21">
        <f t="shared" si="11"/>
        <v>1675943220.9400001</v>
      </c>
      <c r="R47" s="21">
        <f t="shared" si="11"/>
        <v>1573575004.29</v>
      </c>
      <c r="S47" s="21">
        <f t="shared" si="11"/>
        <v>1343961942.8899999</v>
      </c>
      <c r="T47" s="21">
        <f t="shared" si="11"/>
        <v>1335324640.8900001</v>
      </c>
      <c r="U47" s="21">
        <f t="shared" si="11"/>
        <v>1365407343.9299998</v>
      </c>
      <c r="V47" s="21">
        <f t="shared" si="11"/>
        <v>1577654867.21</v>
      </c>
      <c r="W47" s="21">
        <f t="shared" si="11"/>
        <v>1596094575.24</v>
      </c>
      <c r="X47" s="21">
        <f t="shared" si="11"/>
        <v>1657860158.9299998</v>
      </c>
      <c r="Y47" s="21">
        <f t="shared" si="11"/>
        <v>1641709243.4000001</v>
      </c>
      <c r="Z47" s="21">
        <f t="shared" si="11"/>
        <v>1443445972.23</v>
      </c>
      <c r="AA47" s="21">
        <f t="shared" si="11"/>
        <v>1438132234.5800002</v>
      </c>
      <c r="AB47" s="21">
        <f t="shared" si="11"/>
        <v>1472745326.95</v>
      </c>
      <c r="AC47" s="21">
        <f t="shared" si="11"/>
        <v>1630884009.8500001</v>
      </c>
      <c r="AD47" s="21">
        <f t="shared" si="11"/>
        <v>1718031964.53</v>
      </c>
      <c r="AE47" s="21">
        <f t="shared" si="11"/>
        <v>1764248396.2000003</v>
      </c>
      <c r="AF47" s="21">
        <f t="shared" si="11"/>
        <v>1986752341</v>
      </c>
      <c r="AG47" s="21">
        <f t="shared" si="11"/>
        <v>2100816704.27</v>
      </c>
      <c r="AH47" s="21">
        <f t="shared" si="11"/>
        <v>2176268927.9000001</v>
      </c>
      <c r="AI47" s="21">
        <f t="shared" si="11"/>
        <v>2264282700.1300001</v>
      </c>
      <c r="AJ47" s="21">
        <f t="shared" si="11"/>
        <v>2334601384.3600001</v>
      </c>
      <c r="AK47" s="21">
        <f t="shared" si="11"/>
        <v>2198075096.9400001</v>
      </c>
      <c r="AL47" s="21">
        <f t="shared" si="11"/>
        <v>2260352958.1000004</v>
      </c>
      <c r="AM47" s="21">
        <f t="shared" si="11"/>
        <v>2195487366.2000003</v>
      </c>
      <c r="AN47" s="21">
        <f t="shared" si="11"/>
        <v>1925920246.4000001</v>
      </c>
      <c r="AO47" s="21">
        <f t="shared" si="11"/>
        <v>1906710288</v>
      </c>
      <c r="AP47" s="21">
        <f t="shared" si="11"/>
        <v>1842021779.04</v>
      </c>
      <c r="AQ47" s="21">
        <f t="shared" si="11"/>
        <v>1723019817.3700001</v>
      </c>
      <c r="AR47" s="21">
        <f t="shared" si="11"/>
        <v>1809120012.2199998</v>
      </c>
      <c r="AS47" s="21">
        <f t="shared" si="11"/>
        <v>1949061015.0599999</v>
      </c>
      <c r="AT47" s="21">
        <f t="shared" si="11"/>
        <v>1906546506</v>
      </c>
      <c r="AU47" s="21">
        <f t="shared" si="11"/>
        <v>1889944727.5800002</v>
      </c>
      <c r="AV47" s="21">
        <f t="shared" si="11"/>
        <v>1947966217.3800001</v>
      </c>
      <c r="AW47" s="21">
        <f t="shared" si="11"/>
        <v>1903964949.4699998</v>
      </c>
      <c r="AX47" s="21">
        <f t="shared" si="11"/>
        <v>1890651757.3800001</v>
      </c>
      <c r="AY47" s="21">
        <f t="shared" si="11"/>
        <v>1735615615.3500001</v>
      </c>
      <c r="AZ47" s="21">
        <f t="shared" si="11"/>
        <v>1573357425.5</v>
      </c>
      <c r="BA47" s="21">
        <f t="shared" si="11"/>
        <v>1521213177.5799999</v>
      </c>
      <c r="BB47" s="21">
        <f t="shared" si="11"/>
        <v>1418920283.1499999</v>
      </c>
      <c r="BC47" s="21">
        <f t="shared" si="11"/>
        <v>1346458835.6600001</v>
      </c>
      <c r="BD47" s="21">
        <f>BD42+BD44+BD45+BD46+BD41+BD40+BD43</f>
        <v>1363971536.1800001</v>
      </c>
    </row>
    <row r="48" spans="1:56" ht="15" customHeight="1" x14ac:dyDescent="0.3">
      <c r="AW48"/>
    </row>
    <row r="51" spans="1:2" x14ac:dyDescent="0.25">
      <c r="A51" s="125" t="s">
        <v>31</v>
      </c>
      <c r="B51" s="125"/>
    </row>
    <row r="52" spans="1:2" x14ac:dyDescent="0.25">
      <c r="A52" s="14">
        <v>1</v>
      </c>
      <c r="B52" s="14" t="s">
        <v>134</v>
      </c>
    </row>
    <row r="53" spans="1:2" x14ac:dyDescent="0.25">
      <c r="A53" s="14">
        <v>2</v>
      </c>
      <c r="B53" s="14" t="s">
        <v>155</v>
      </c>
    </row>
    <row r="54" spans="1:2" x14ac:dyDescent="0.25">
      <c r="A54" s="14">
        <v>3</v>
      </c>
      <c r="B54" s="14" t="s">
        <v>155</v>
      </c>
    </row>
    <row r="55" spans="1:2" x14ac:dyDescent="0.25">
      <c r="A55" s="14">
        <v>4</v>
      </c>
      <c r="B55" s="14" t="s">
        <v>155</v>
      </c>
    </row>
    <row r="56" spans="1:2" x14ac:dyDescent="0.25">
      <c r="A56" s="14">
        <v>5</v>
      </c>
      <c r="B56" s="14" t="s">
        <v>155</v>
      </c>
    </row>
    <row r="57" spans="1:2" x14ac:dyDescent="0.25">
      <c r="A57" s="14">
        <v>6</v>
      </c>
      <c r="B57" s="14" t="s">
        <v>155</v>
      </c>
    </row>
    <row r="58" spans="1:2" x14ac:dyDescent="0.25">
      <c r="A58" s="14">
        <v>7</v>
      </c>
      <c r="B58" s="14" t="s">
        <v>155</v>
      </c>
    </row>
    <row r="59" spans="1:2" x14ac:dyDescent="0.25">
      <c r="A59" s="14">
        <v>8</v>
      </c>
      <c r="B59" s="14" t="s">
        <v>155</v>
      </c>
    </row>
    <row r="60" spans="1:2" x14ac:dyDescent="0.25">
      <c r="A60" s="14">
        <v>9</v>
      </c>
      <c r="B60" s="14" t="s">
        <v>138</v>
      </c>
    </row>
    <row r="61" spans="1:2" x14ac:dyDescent="0.25">
      <c r="A61" s="14">
        <v>10</v>
      </c>
      <c r="B61" s="14" t="s">
        <v>138</v>
      </c>
    </row>
    <row r="62" spans="1:2" x14ac:dyDescent="0.25">
      <c r="A62" s="14">
        <v>11</v>
      </c>
      <c r="B62" s="14" t="s">
        <v>138</v>
      </c>
    </row>
    <row r="63" spans="1:2" x14ac:dyDescent="0.25">
      <c r="A63" s="14">
        <v>12</v>
      </c>
      <c r="B63" s="14" t="s">
        <v>138</v>
      </c>
    </row>
    <row r="64" spans="1:2" x14ac:dyDescent="0.25">
      <c r="A64" s="14">
        <v>13</v>
      </c>
      <c r="B64" s="14" t="s">
        <v>138</v>
      </c>
    </row>
    <row r="65" spans="1:11" x14ac:dyDescent="0.25">
      <c r="A65" s="14">
        <v>14</v>
      </c>
      <c r="B65" s="14" t="s">
        <v>138</v>
      </c>
    </row>
    <row r="66" spans="1:11" x14ac:dyDescent="0.25">
      <c r="A66" s="14">
        <v>15</v>
      </c>
      <c r="B66" s="14" t="s">
        <v>138</v>
      </c>
    </row>
    <row r="67" spans="1:11" x14ac:dyDescent="0.25">
      <c r="A67" s="14">
        <v>16</v>
      </c>
      <c r="B67" s="14" t="s">
        <v>156</v>
      </c>
    </row>
    <row r="72" spans="1:11" ht="14" x14ac:dyDescent="0.3">
      <c r="A72" s="125" t="s">
        <v>157</v>
      </c>
      <c r="B72" s="130"/>
    </row>
    <row r="73" spans="1:11" ht="42.75" customHeight="1" x14ac:dyDescent="0.25">
      <c r="A73" s="131" t="s">
        <v>158</v>
      </c>
      <c r="B73" s="131"/>
      <c r="C73" s="131"/>
      <c r="D73" s="131"/>
      <c r="E73" s="131"/>
      <c r="F73" s="131"/>
    </row>
    <row r="76" spans="1:11" ht="14" x14ac:dyDescent="0.3">
      <c r="A76" s="125" t="s">
        <v>159</v>
      </c>
      <c r="B76" s="130"/>
    </row>
    <row r="77" spans="1:11" ht="222" customHeight="1" x14ac:dyDescent="0.25">
      <c r="A77" s="133" t="s">
        <v>160</v>
      </c>
      <c r="B77" s="133"/>
      <c r="C77" s="133"/>
      <c r="D77" s="133"/>
      <c r="E77" s="133"/>
      <c r="F77" s="133"/>
      <c r="G77" s="62"/>
      <c r="H77" s="62"/>
      <c r="I77" s="62"/>
      <c r="J77" s="62"/>
      <c r="K77" s="62"/>
    </row>
    <row r="80" spans="1:11" ht="14" x14ac:dyDescent="0.3">
      <c r="A80" s="125" t="s">
        <v>161</v>
      </c>
      <c r="B80" s="130"/>
    </row>
    <row r="81" spans="1:11" ht="78" customHeight="1" x14ac:dyDescent="0.25">
      <c r="A81" s="133"/>
      <c r="B81" s="136"/>
      <c r="C81" s="136"/>
      <c r="D81" s="136"/>
      <c r="E81" s="136"/>
      <c r="F81" s="136"/>
      <c r="G81" s="136"/>
      <c r="H81" s="136"/>
      <c r="I81" s="136"/>
      <c r="J81" s="136"/>
      <c r="K81" s="136"/>
    </row>
    <row r="83" spans="1:11" ht="14" x14ac:dyDescent="0.3">
      <c r="A83" s="125" t="s">
        <v>162</v>
      </c>
      <c r="B83" s="130"/>
    </row>
    <row r="84" spans="1:11" ht="110" customHeight="1" x14ac:dyDescent="0.25">
      <c r="A84" s="133"/>
      <c r="B84" s="133"/>
      <c r="C84" s="133"/>
      <c r="D84" s="133"/>
      <c r="E84" s="133"/>
      <c r="F84" s="133"/>
      <c r="G84" s="133"/>
      <c r="H84" s="133"/>
      <c r="I84" s="133"/>
      <c r="J84" s="133"/>
      <c r="K84" s="133"/>
    </row>
    <row r="86" spans="1:11" customFormat="1" x14ac:dyDescent="0.3"/>
    <row r="87" spans="1:11" customFormat="1" x14ac:dyDescent="0.3"/>
    <row r="88" spans="1:11" customFormat="1" ht="171" customHeight="1" x14ac:dyDescent="0.3"/>
    <row r="89" spans="1:11" customFormat="1" x14ac:dyDescent="0.3"/>
    <row r="90" spans="1:11" customFormat="1" x14ac:dyDescent="0.3"/>
    <row r="91" spans="1:11" customFormat="1" ht="15.75" customHeight="1" x14ac:dyDescent="0.3"/>
    <row r="92" spans="1:11" customFormat="1" x14ac:dyDescent="0.3"/>
    <row r="93" spans="1:11" customFormat="1" x14ac:dyDescent="0.3"/>
    <row r="94" spans="1:11" customFormat="1" x14ac:dyDescent="0.3"/>
    <row r="95" spans="1:11" customFormat="1" x14ac:dyDescent="0.3"/>
    <row r="96" spans="1:11"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spans="1:4" customFormat="1" x14ac:dyDescent="0.3"/>
    <row r="114" spans="1:4" customFormat="1" x14ac:dyDescent="0.3"/>
    <row r="115" spans="1:4" customFormat="1" x14ac:dyDescent="0.3"/>
    <row r="117" spans="1:4" ht="14" x14ac:dyDescent="0.3">
      <c r="A117"/>
      <c r="B117"/>
      <c r="C117"/>
      <c r="D117"/>
    </row>
    <row r="118" spans="1:4" ht="14" x14ac:dyDescent="0.3">
      <c r="A118"/>
      <c r="B118"/>
      <c r="C118"/>
      <c r="D118"/>
    </row>
    <row r="119" spans="1:4" ht="14" x14ac:dyDescent="0.3">
      <c r="A119"/>
      <c r="B119"/>
      <c r="C119"/>
      <c r="D119"/>
    </row>
    <row r="120" spans="1:4" ht="14" x14ac:dyDescent="0.3">
      <c r="A120"/>
      <c r="B120"/>
      <c r="C120"/>
      <c r="D120"/>
    </row>
    <row r="121" spans="1:4" ht="14" x14ac:dyDescent="0.3">
      <c r="A121"/>
      <c r="B121"/>
      <c r="C121"/>
      <c r="D121"/>
    </row>
    <row r="122" spans="1:4" ht="14" x14ac:dyDescent="0.3">
      <c r="A122"/>
      <c r="B122"/>
      <c r="C122"/>
      <c r="D122"/>
    </row>
    <row r="123" spans="1:4" ht="14" x14ac:dyDescent="0.3">
      <c r="A123"/>
      <c r="B123"/>
      <c r="C123"/>
      <c r="D123"/>
    </row>
    <row r="124" spans="1:4" ht="14" x14ac:dyDescent="0.3">
      <c r="A124"/>
      <c r="B124"/>
      <c r="C124"/>
      <c r="D124"/>
    </row>
    <row r="125" spans="1:4" ht="14" x14ac:dyDescent="0.3">
      <c r="A125"/>
      <c r="B125"/>
      <c r="C125"/>
      <c r="D125"/>
    </row>
    <row r="126" spans="1:4" ht="14" x14ac:dyDescent="0.3">
      <c r="A126"/>
      <c r="B126"/>
      <c r="C126"/>
      <c r="D126"/>
    </row>
    <row r="127" spans="1:4" ht="14" x14ac:dyDescent="0.3">
      <c r="A127"/>
      <c r="B127"/>
      <c r="C127"/>
      <c r="D127"/>
    </row>
    <row r="128" spans="1:4" ht="14" x14ac:dyDescent="0.3">
      <c r="A128"/>
      <c r="B128"/>
      <c r="C128"/>
      <c r="D128"/>
    </row>
    <row r="129" spans="1:4" ht="14" x14ac:dyDescent="0.3">
      <c r="A129"/>
      <c r="B129"/>
      <c r="C129"/>
      <c r="D129"/>
    </row>
    <row r="130" spans="1:4" ht="14" x14ac:dyDescent="0.3">
      <c r="A130"/>
      <c r="B130"/>
      <c r="C130"/>
      <c r="D130"/>
    </row>
    <row r="131" spans="1:4" ht="14" x14ac:dyDescent="0.3">
      <c r="A131"/>
      <c r="B131"/>
      <c r="C131"/>
      <c r="D131"/>
    </row>
    <row r="132" spans="1:4" ht="14" x14ac:dyDescent="0.3">
      <c r="A132"/>
      <c r="B132"/>
      <c r="C132"/>
      <c r="D132"/>
    </row>
    <row r="133" spans="1:4" ht="14" x14ac:dyDescent="0.3">
      <c r="A133"/>
      <c r="B133"/>
      <c r="C133"/>
      <c r="D133"/>
    </row>
    <row r="134" spans="1:4" ht="14" x14ac:dyDescent="0.3">
      <c r="A134"/>
      <c r="B134"/>
      <c r="C134"/>
      <c r="D134"/>
    </row>
    <row r="135" spans="1:4" ht="14" x14ac:dyDescent="0.3">
      <c r="A135"/>
      <c r="B135"/>
      <c r="C135"/>
      <c r="D135"/>
    </row>
    <row r="136" spans="1:4" ht="14" x14ac:dyDescent="0.3">
      <c r="A136"/>
      <c r="B136"/>
      <c r="C136"/>
      <c r="D136"/>
    </row>
    <row r="137" spans="1:4" ht="14" x14ac:dyDescent="0.3">
      <c r="A137"/>
      <c r="B137"/>
      <c r="C137"/>
      <c r="D137"/>
    </row>
    <row r="138" spans="1:4" ht="14" x14ac:dyDescent="0.3">
      <c r="A138"/>
      <c r="B138"/>
      <c r="C138"/>
      <c r="D138"/>
    </row>
    <row r="139" spans="1:4" ht="14" x14ac:dyDescent="0.3">
      <c r="A139"/>
      <c r="B139"/>
      <c r="C139"/>
      <c r="D139"/>
    </row>
    <row r="140" spans="1:4" ht="14" x14ac:dyDescent="0.3">
      <c r="A140"/>
      <c r="B140"/>
      <c r="C140"/>
      <c r="D140"/>
    </row>
    <row r="141" spans="1:4" ht="14" x14ac:dyDescent="0.3">
      <c r="A141"/>
      <c r="B141"/>
      <c r="C141"/>
      <c r="D141"/>
    </row>
    <row r="142" spans="1:4" ht="14" x14ac:dyDescent="0.3">
      <c r="A142"/>
      <c r="B142"/>
      <c r="C142"/>
      <c r="D142"/>
    </row>
    <row r="143" spans="1:4" ht="14" x14ac:dyDescent="0.3">
      <c r="A143"/>
      <c r="B143"/>
      <c r="C143"/>
      <c r="D143"/>
    </row>
    <row r="144" spans="1:4" ht="14" x14ac:dyDescent="0.3">
      <c r="A144"/>
      <c r="B144"/>
      <c r="C144"/>
      <c r="D144"/>
    </row>
    <row r="145" spans="1:4" ht="14" x14ac:dyDescent="0.3">
      <c r="A145"/>
      <c r="B145"/>
      <c r="C145"/>
      <c r="D145"/>
    </row>
    <row r="146" spans="1:4" ht="14" x14ac:dyDescent="0.3">
      <c r="A146"/>
      <c r="B146"/>
      <c r="C146"/>
      <c r="D146"/>
    </row>
    <row r="147" spans="1:4" ht="14" x14ac:dyDescent="0.3">
      <c r="A147"/>
      <c r="B147"/>
      <c r="C147"/>
      <c r="D147"/>
    </row>
    <row r="148" spans="1:4" ht="14" x14ac:dyDescent="0.3">
      <c r="A148"/>
      <c r="B148"/>
      <c r="C148"/>
      <c r="D148"/>
    </row>
    <row r="149" spans="1:4" ht="14" x14ac:dyDescent="0.3">
      <c r="A149"/>
      <c r="B149"/>
      <c r="C149"/>
      <c r="D149"/>
    </row>
    <row r="150" spans="1:4" ht="14" x14ac:dyDescent="0.3">
      <c r="A150"/>
      <c r="B150"/>
      <c r="C150"/>
      <c r="D150"/>
    </row>
    <row r="151" spans="1:4" ht="14" x14ac:dyDescent="0.3">
      <c r="A151"/>
      <c r="B151"/>
      <c r="C151"/>
      <c r="D151"/>
    </row>
    <row r="152" spans="1:4" ht="14" x14ac:dyDescent="0.3">
      <c r="A152"/>
      <c r="B152"/>
      <c r="C152"/>
      <c r="D152"/>
    </row>
    <row r="153" spans="1:4" ht="14" x14ac:dyDescent="0.3">
      <c r="A153"/>
      <c r="B153"/>
      <c r="C153"/>
      <c r="D153"/>
    </row>
    <row r="154" spans="1:4" ht="14" x14ac:dyDescent="0.3">
      <c r="A154"/>
      <c r="B154"/>
      <c r="C154"/>
      <c r="D154"/>
    </row>
    <row r="155" spans="1:4" ht="14" x14ac:dyDescent="0.3">
      <c r="A155"/>
      <c r="B155"/>
      <c r="C155"/>
      <c r="D155"/>
    </row>
    <row r="156" spans="1:4" ht="14" x14ac:dyDescent="0.3">
      <c r="A156"/>
      <c r="B156"/>
      <c r="C156"/>
      <c r="D156"/>
    </row>
    <row r="157" spans="1:4" ht="14" x14ac:dyDescent="0.3">
      <c r="A157"/>
      <c r="B157"/>
      <c r="C157"/>
      <c r="D157"/>
    </row>
    <row r="158" spans="1:4" ht="14" x14ac:dyDescent="0.3">
      <c r="A158"/>
      <c r="B158"/>
      <c r="C158"/>
      <c r="D158"/>
    </row>
    <row r="159" spans="1:4" ht="14" x14ac:dyDescent="0.3">
      <c r="A159"/>
      <c r="B159"/>
      <c r="C159"/>
      <c r="D159"/>
    </row>
    <row r="160" spans="1:4" ht="14" x14ac:dyDescent="0.3">
      <c r="A160"/>
      <c r="B160"/>
      <c r="C160"/>
      <c r="D160"/>
    </row>
    <row r="161" spans="1:4" ht="14" x14ac:dyDescent="0.3">
      <c r="A161"/>
      <c r="B161"/>
      <c r="C161"/>
      <c r="D161"/>
    </row>
    <row r="162" spans="1:4" ht="14" x14ac:dyDescent="0.3">
      <c r="A162"/>
      <c r="B162"/>
      <c r="C162"/>
      <c r="D162"/>
    </row>
    <row r="163" spans="1:4" ht="14" x14ac:dyDescent="0.3">
      <c r="A163"/>
      <c r="B163"/>
      <c r="C163"/>
      <c r="D163"/>
    </row>
    <row r="164" spans="1:4" ht="14" x14ac:dyDescent="0.3">
      <c r="A164"/>
      <c r="B164"/>
      <c r="C164"/>
      <c r="D164"/>
    </row>
    <row r="165" spans="1:4" ht="14" x14ac:dyDescent="0.3">
      <c r="A165"/>
      <c r="B165"/>
      <c r="C165"/>
      <c r="D165"/>
    </row>
    <row r="166" spans="1:4" ht="14" x14ac:dyDescent="0.3">
      <c r="A166"/>
      <c r="B166"/>
      <c r="C166"/>
      <c r="D166"/>
    </row>
    <row r="167" spans="1:4" ht="14" x14ac:dyDescent="0.3">
      <c r="A167"/>
      <c r="B167"/>
      <c r="C167"/>
      <c r="D167"/>
    </row>
    <row r="168" spans="1:4" ht="14" x14ac:dyDescent="0.3">
      <c r="A168"/>
      <c r="B168"/>
      <c r="C168"/>
      <c r="D168"/>
    </row>
    <row r="169" spans="1:4" ht="14" x14ac:dyDescent="0.3">
      <c r="A169"/>
      <c r="B169"/>
      <c r="C169"/>
      <c r="D169"/>
    </row>
    <row r="170" spans="1:4" ht="14" x14ac:dyDescent="0.3">
      <c r="A170"/>
      <c r="B170"/>
      <c r="C170"/>
      <c r="D170"/>
    </row>
    <row r="171" spans="1:4" ht="14" x14ac:dyDescent="0.3">
      <c r="A171"/>
      <c r="B171"/>
      <c r="C171"/>
      <c r="D171"/>
    </row>
    <row r="172" spans="1:4" ht="14" x14ac:dyDescent="0.3">
      <c r="A172"/>
      <c r="B172"/>
      <c r="C172"/>
      <c r="D172"/>
    </row>
    <row r="173" spans="1:4" ht="14" x14ac:dyDescent="0.3">
      <c r="A173"/>
      <c r="B173"/>
      <c r="C173"/>
      <c r="D173"/>
    </row>
    <row r="174" spans="1:4" ht="14" x14ac:dyDescent="0.3">
      <c r="A174"/>
      <c r="B174"/>
      <c r="C174"/>
      <c r="D174"/>
    </row>
    <row r="175" spans="1:4" ht="14" x14ac:dyDescent="0.3">
      <c r="A175"/>
      <c r="B175"/>
      <c r="C175"/>
      <c r="D175"/>
    </row>
    <row r="176" spans="1:4" ht="14" x14ac:dyDescent="0.3">
      <c r="A176"/>
      <c r="B176"/>
      <c r="C176"/>
      <c r="D176"/>
    </row>
    <row r="177" spans="1:4" ht="14" x14ac:dyDescent="0.3">
      <c r="A177"/>
      <c r="B177"/>
      <c r="C177"/>
      <c r="D177"/>
    </row>
    <row r="178" spans="1:4" ht="14" x14ac:dyDescent="0.3">
      <c r="A178"/>
      <c r="B178"/>
      <c r="C178"/>
      <c r="D178"/>
    </row>
    <row r="179" spans="1:4" ht="14" x14ac:dyDescent="0.3">
      <c r="A179"/>
      <c r="B179"/>
      <c r="C179"/>
      <c r="D179"/>
    </row>
    <row r="180" spans="1:4" ht="14" x14ac:dyDescent="0.3">
      <c r="A180"/>
      <c r="B180"/>
      <c r="C180"/>
      <c r="D180"/>
    </row>
  </sheetData>
  <mergeCells count="11">
    <mergeCell ref="A76:B76"/>
    <mergeCell ref="A13:B13"/>
    <mergeCell ref="A31:B31"/>
    <mergeCell ref="A51:B51"/>
    <mergeCell ref="A72:B72"/>
    <mergeCell ref="A73:F73"/>
    <mergeCell ref="A77:F77"/>
    <mergeCell ref="A80:B80"/>
    <mergeCell ref="A81:K81"/>
    <mergeCell ref="A83:B83"/>
    <mergeCell ref="A84:K84"/>
  </mergeCells>
  <pageMargins left="0.75000000000000011" right="0.75000000000000011" top="1" bottom="1" header="0.5" footer="0.5"/>
  <pageSetup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94"/>
  <sheetViews>
    <sheetView zoomScale="80" zoomScaleNormal="80" workbookViewId="0">
      <pane xSplit="2" ySplit="2" topLeftCell="G36" activePane="bottomRight" state="frozen"/>
      <selection activeCell="A42" sqref="A42:F42"/>
      <selection pane="topRight" activeCell="A42" sqref="A42:F42"/>
      <selection pane="bottomLeft" activeCell="A42" sqref="A42:F42"/>
      <selection pane="bottomRight" activeCell="K78" sqref="K78"/>
    </sheetView>
  </sheetViews>
  <sheetFormatPr defaultColWidth="10.69140625" defaultRowHeight="13.5" x14ac:dyDescent="0.25"/>
  <cols>
    <col min="1" max="1" width="10.53515625" style="14" customWidth="1"/>
    <col min="2" max="2" width="50.53515625" style="14" customWidth="1"/>
    <col min="3" max="56" width="18.53515625" style="14" customWidth="1"/>
    <col min="57" max="57" width="10.69140625" style="14"/>
    <col min="58" max="58" width="17.765625" style="14" bestFit="1" customWidth="1"/>
    <col min="59" max="16384" width="10.69140625" style="14"/>
  </cols>
  <sheetData>
    <row r="1" spans="1:56" s="3" customFormat="1" ht="18" thickBot="1" x14ac:dyDescent="0.4">
      <c r="A1" s="2" t="s">
        <v>163</v>
      </c>
      <c r="B1" s="2"/>
      <c r="C1" s="2"/>
      <c r="D1" s="2"/>
      <c r="E1" s="2"/>
    </row>
    <row r="2" spans="1:56" s="7" customFormat="1" ht="14" thickTop="1" x14ac:dyDescent="0.25">
      <c r="B2" s="6" t="s">
        <v>57</v>
      </c>
      <c r="C2" s="7">
        <v>1960</v>
      </c>
      <c r="D2" s="7">
        <v>1961</v>
      </c>
      <c r="E2" s="7">
        <v>1962</v>
      </c>
      <c r="F2" s="7">
        <v>1963</v>
      </c>
      <c r="G2" s="7">
        <v>1964</v>
      </c>
      <c r="H2" s="7">
        <v>1965</v>
      </c>
      <c r="I2" s="7">
        <v>1966</v>
      </c>
      <c r="J2" s="7">
        <v>1967</v>
      </c>
      <c r="K2" s="7">
        <v>1968</v>
      </c>
      <c r="L2" s="7">
        <v>1969</v>
      </c>
      <c r="M2" s="7">
        <v>1970</v>
      </c>
      <c r="N2" s="7">
        <v>1971</v>
      </c>
      <c r="O2" s="7">
        <v>1972</v>
      </c>
      <c r="P2" s="7">
        <v>1973</v>
      </c>
      <c r="Q2" s="7">
        <v>1974</v>
      </c>
      <c r="R2" s="7">
        <v>1975</v>
      </c>
      <c r="S2" s="7">
        <v>1976</v>
      </c>
      <c r="T2" s="7">
        <v>1977</v>
      </c>
      <c r="U2" s="7">
        <v>1978</v>
      </c>
      <c r="V2" s="7">
        <v>1979</v>
      </c>
      <c r="W2" s="7">
        <v>1980</v>
      </c>
      <c r="X2" s="7">
        <v>1981</v>
      </c>
      <c r="Y2" s="7">
        <v>1982</v>
      </c>
      <c r="Z2" s="7">
        <v>1983</v>
      </c>
      <c r="AA2" s="7">
        <v>1984</v>
      </c>
      <c r="AB2" s="7">
        <v>1985</v>
      </c>
      <c r="AC2" s="7">
        <v>1986</v>
      </c>
      <c r="AD2" s="7">
        <v>1987</v>
      </c>
      <c r="AE2" s="7">
        <v>1988</v>
      </c>
      <c r="AF2" s="7">
        <v>1989</v>
      </c>
      <c r="AG2" s="7">
        <v>1990</v>
      </c>
      <c r="AH2" s="7">
        <v>1991</v>
      </c>
      <c r="AI2" s="7">
        <v>1992</v>
      </c>
      <c r="AJ2" s="7">
        <v>1993</v>
      </c>
      <c r="AK2" s="7">
        <v>1994</v>
      </c>
      <c r="AL2" s="7">
        <v>1995</v>
      </c>
      <c r="AM2" s="7">
        <v>1996</v>
      </c>
      <c r="AN2" s="7">
        <v>1997</v>
      </c>
      <c r="AO2" s="7">
        <v>1998</v>
      </c>
      <c r="AP2" s="7">
        <v>1999</v>
      </c>
      <c r="AQ2" s="7">
        <v>2000</v>
      </c>
      <c r="AR2" s="7">
        <v>2001</v>
      </c>
      <c r="AS2" s="7">
        <v>2002</v>
      </c>
      <c r="AT2" s="7">
        <v>2003</v>
      </c>
      <c r="AU2" s="7">
        <v>2004</v>
      </c>
      <c r="AV2" s="7">
        <v>2005</v>
      </c>
      <c r="AW2" s="7">
        <v>2006</v>
      </c>
      <c r="AX2" s="7">
        <v>2007</v>
      </c>
      <c r="AY2" s="7">
        <v>2008</v>
      </c>
      <c r="AZ2" s="7">
        <v>2009</v>
      </c>
      <c r="BA2" s="7">
        <v>2010</v>
      </c>
      <c r="BB2" s="7">
        <v>2011</v>
      </c>
      <c r="BC2" s="7">
        <v>2012</v>
      </c>
      <c r="BD2" s="7">
        <v>2013</v>
      </c>
    </row>
    <row r="3" spans="1:56" s="60" customFormat="1" x14ac:dyDescent="0.25">
      <c r="A3" s="13">
        <v>1</v>
      </c>
      <c r="B3" s="60" t="s">
        <v>164</v>
      </c>
      <c r="C3" s="60">
        <v>0.51919888583343432</v>
      </c>
      <c r="D3" s="60">
        <v>0.53728637376545962</v>
      </c>
      <c r="E3" s="60">
        <v>0.55661218455256523</v>
      </c>
      <c r="F3" s="60">
        <v>0.57873834280680259</v>
      </c>
      <c r="G3" s="60">
        <v>0.59996720079269283</v>
      </c>
      <c r="H3" s="60">
        <v>0.62163350643489157</v>
      </c>
      <c r="I3" s="60">
        <v>0.64261621277357672</v>
      </c>
      <c r="J3" s="60">
        <v>0.66132906155935312</v>
      </c>
      <c r="K3" s="60">
        <v>0.67989924678956215</v>
      </c>
      <c r="L3" s="60">
        <v>0.69823099399824073</v>
      </c>
      <c r="M3" s="60">
        <v>0.71694979019858651</v>
      </c>
      <c r="N3" s="60">
        <v>0.73328814648160912</v>
      </c>
      <c r="O3" s="60">
        <v>0.73481446525721161</v>
      </c>
      <c r="P3" s="60">
        <v>0.74984266637695185</v>
      </c>
      <c r="Q3" s="60">
        <v>0.76456879160140545</v>
      </c>
      <c r="R3" s="60">
        <v>0.77923692819490831</v>
      </c>
      <c r="S3" s="60">
        <v>0.7932541654168499</v>
      </c>
      <c r="T3" s="60">
        <v>0.80788153617239711</v>
      </c>
      <c r="U3" s="60">
        <v>0.82210394011996835</v>
      </c>
      <c r="V3" s="60">
        <v>0.83573958432442808</v>
      </c>
      <c r="W3" s="60">
        <v>0.88189997799006625</v>
      </c>
      <c r="X3" s="60">
        <v>0.89401333174877418</v>
      </c>
      <c r="Y3" s="60">
        <v>0.90633425590766492</v>
      </c>
      <c r="Z3" s="60">
        <v>0.91941554646781032</v>
      </c>
      <c r="AA3" s="60">
        <v>0.93436201550267683</v>
      </c>
      <c r="AB3" s="60">
        <v>0.94893445138243415</v>
      </c>
      <c r="AC3" s="60">
        <v>0.96568692392622613</v>
      </c>
      <c r="AD3" s="60">
        <v>0.98281628690247269</v>
      </c>
      <c r="AE3" s="60">
        <v>1.0009928607886716</v>
      </c>
      <c r="AF3" s="60">
        <v>1.0171780128239101</v>
      </c>
      <c r="AG3" s="60">
        <f t="shared" ref="AG3:BD3" si="0">AG16</f>
        <v>1.0320634671967186</v>
      </c>
      <c r="AH3" s="60">
        <f t="shared" si="0"/>
        <v>1.0326717979535003</v>
      </c>
      <c r="AI3" s="60">
        <f t="shared" si="0"/>
        <v>1.0434002957156754</v>
      </c>
      <c r="AJ3" s="60">
        <f t="shared" si="0"/>
        <v>1.0582555366413819</v>
      </c>
      <c r="AK3" s="60">
        <f t="shared" si="0"/>
        <v>1.0720324425164589</v>
      </c>
      <c r="AL3" s="60">
        <f t="shared" si="0"/>
        <v>1.0853167719509571</v>
      </c>
      <c r="AM3" s="60">
        <f t="shared" si="0"/>
        <v>1.0987822536046181</v>
      </c>
      <c r="AN3" s="60">
        <f t="shared" si="0"/>
        <v>1.1119219156584206</v>
      </c>
      <c r="AO3" s="60">
        <f t="shared" si="0"/>
        <v>1.1246495254359337</v>
      </c>
      <c r="AP3" s="60">
        <f t="shared" si="0"/>
        <v>1.1376421622453305</v>
      </c>
      <c r="AQ3" s="60">
        <f t="shared" si="0"/>
        <v>1.1525172677336999</v>
      </c>
      <c r="AR3" s="60">
        <f t="shared" si="0"/>
        <v>1.1787835127162583</v>
      </c>
      <c r="AS3" s="60">
        <f t="shared" si="0"/>
        <v>1.2008237280821499</v>
      </c>
      <c r="AT3" s="60">
        <f t="shared" si="0"/>
        <v>1.2202804434480417</v>
      </c>
      <c r="AU3" s="60">
        <f t="shared" si="0"/>
        <v>1.2490367588139333</v>
      </c>
      <c r="AV3" s="60">
        <f t="shared" si="0"/>
        <v>1.274752004179825</v>
      </c>
      <c r="AW3" s="60">
        <f t="shared" si="0"/>
        <v>1.2293307495457169</v>
      </c>
      <c r="AX3" s="60">
        <f t="shared" si="0"/>
        <v>1.2478420949116089</v>
      </c>
      <c r="AY3" s="60">
        <f t="shared" si="0"/>
        <v>1.2384431492775001</v>
      </c>
      <c r="AZ3" s="60">
        <f t="shared" si="0"/>
        <v>1.2251558021433917</v>
      </c>
      <c r="BA3" s="60">
        <f t="shared" si="0"/>
        <v>1.2116485260092833</v>
      </c>
      <c r="BB3" s="60">
        <f t="shared" si="0"/>
        <v>1.2138724898751749</v>
      </c>
      <c r="BC3" s="60">
        <f t="shared" si="0"/>
        <v>1.2023569237410667</v>
      </c>
      <c r="BD3" s="60">
        <f t="shared" si="0"/>
        <v>1.2080205476069583</v>
      </c>
    </row>
    <row r="4" spans="1:56" s="63" customFormat="1" x14ac:dyDescent="0.25">
      <c r="A4" s="13">
        <v>2</v>
      </c>
      <c r="B4" s="63" t="s">
        <v>165</v>
      </c>
      <c r="C4" s="63">
        <v>754.96574999999996</v>
      </c>
      <c r="D4" s="63">
        <v>1411.2824550000005</v>
      </c>
      <c r="E4" s="63">
        <v>1458.1491600000004</v>
      </c>
      <c r="F4" s="63">
        <v>1505.0158650000005</v>
      </c>
      <c r="G4" s="63">
        <v>1551.8825700000004</v>
      </c>
      <c r="H4" s="63">
        <v>1598.7492750000004</v>
      </c>
      <c r="I4" s="63">
        <v>1645.6159800000005</v>
      </c>
      <c r="J4" s="63">
        <v>1692.4826850000004</v>
      </c>
      <c r="K4" s="63">
        <v>1739.3493900000005</v>
      </c>
      <c r="L4" s="63">
        <v>1786.2160950000007</v>
      </c>
      <c r="M4" s="63">
        <v>1833.0827999999965</v>
      </c>
      <c r="N4" s="63">
        <v>2075.837614999999</v>
      </c>
      <c r="O4" s="63">
        <v>2136.6924299999991</v>
      </c>
      <c r="P4" s="63">
        <v>2197.5472449999988</v>
      </c>
      <c r="Q4" s="63">
        <v>2258.4020599999985</v>
      </c>
      <c r="R4" s="63">
        <v>2319.2568749999991</v>
      </c>
      <c r="S4" s="63">
        <v>2380.1116899999988</v>
      </c>
      <c r="T4" s="63">
        <v>8184.417104999995</v>
      </c>
      <c r="U4" s="63">
        <v>14275.098119999993</v>
      </c>
      <c r="V4" s="63">
        <v>20652.154734999989</v>
      </c>
      <c r="W4" s="63">
        <v>27315.586950000074</v>
      </c>
      <c r="X4" s="63">
        <v>32781.480410000011</v>
      </c>
      <c r="Y4" s="63">
        <v>33452.309870000012</v>
      </c>
      <c r="Z4" s="63">
        <v>34123.139330000005</v>
      </c>
      <c r="AA4" s="63">
        <v>34793.968790000014</v>
      </c>
      <c r="AB4" s="63">
        <v>35464.798250000014</v>
      </c>
      <c r="AC4" s="63">
        <v>36135.627710000015</v>
      </c>
      <c r="AD4" s="63">
        <v>36806.457170000016</v>
      </c>
      <c r="AE4" s="63">
        <v>37477.28663000001</v>
      </c>
      <c r="AF4" s="63">
        <v>38148.116090000018</v>
      </c>
      <c r="AG4" s="63">
        <v>38818.945549999909</v>
      </c>
      <c r="AH4" s="63">
        <v>32906.079338370015</v>
      </c>
      <c r="AI4" s="63">
        <v>33106.775826740013</v>
      </c>
      <c r="AJ4" s="63">
        <v>33307.472315110012</v>
      </c>
      <c r="AK4" s="63">
        <v>33508.168803480017</v>
      </c>
      <c r="AL4" s="63">
        <v>33708.865291850016</v>
      </c>
      <c r="AM4" s="63">
        <v>33909.561780220021</v>
      </c>
      <c r="AN4" s="63">
        <v>34110.258268590027</v>
      </c>
      <c r="AO4" s="63">
        <v>34310.954756960025</v>
      </c>
      <c r="AP4" s="63">
        <v>34511.651245330024</v>
      </c>
      <c r="AQ4" s="63">
        <v>34712.347733699869</v>
      </c>
      <c r="AR4" s="63">
        <v>44582.56121625832</v>
      </c>
      <c r="AS4" s="63">
        <v>45473.745082149988</v>
      </c>
      <c r="AT4" s="63">
        <v>46364.928948041656</v>
      </c>
      <c r="AU4" s="63">
        <v>47256.112813933374</v>
      </c>
      <c r="AV4" s="63">
        <v>48147.296679825042</v>
      </c>
      <c r="AW4" s="63">
        <v>49038.480545716608</v>
      </c>
      <c r="AX4" s="63">
        <f t="shared" ref="AX4:BC4" si="1">AX20</f>
        <v>49929.66441160837</v>
      </c>
      <c r="AY4" s="63">
        <f t="shared" si="1"/>
        <v>50820.848277500045</v>
      </c>
      <c r="AZ4" s="63">
        <f t="shared" si="1"/>
        <v>51712.032143391712</v>
      </c>
      <c r="BA4" s="63">
        <f t="shared" si="1"/>
        <v>52603.21600928338</v>
      </c>
      <c r="BB4" s="63">
        <f t="shared" si="1"/>
        <v>53494.399875175048</v>
      </c>
      <c r="BC4" s="63">
        <f t="shared" si="1"/>
        <v>54385.583741066715</v>
      </c>
      <c r="BD4" s="63">
        <f>BD20</f>
        <v>55276.76760695839</v>
      </c>
    </row>
    <row r="5" spans="1:56" s="63" customFormat="1" x14ac:dyDescent="0.25">
      <c r="A5" s="13">
        <v>3</v>
      </c>
      <c r="B5" s="63" t="s">
        <v>166</v>
      </c>
      <c r="C5" s="63">
        <v>309604325.92388576</v>
      </c>
      <c r="D5" s="63">
        <v>318470315.03811848</v>
      </c>
      <c r="E5" s="63">
        <v>327336304.15235126</v>
      </c>
      <c r="F5" s="63">
        <v>336202293.26658398</v>
      </c>
      <c r="G5" s="63">
        <v>345068282.3808167</v>
      </c>
      <c r="H5" s="63">
        <v>353934271.49504948</v>
      </c>
      <c r="I5" s="63">
        <v>362800260.60928226</v>
      </c>
      <c r="J5" s="63">
        <v>371666249.72351497</v>
      </c>
      <c r="K5" s="63">
        <v>380532238.83774769</v>
      </c>
      <c r="L5" s="63">
        <v>389398227.95198053</v>
      </c>
      <c r="M5" s="63">
        <v>398264217.06621367</v>
      </c>
      <c r="N5" s="63">
        <v>388386099.49999994</v>
      </c>
      <c r="O5" s="63">
        <v>398783328.99999994</v>
      </c>
      <c r="P5" s="63">
        <v>409180558.49999994</v>
      </c>
      <c r="Q5" s="63">
        <v>419577787.99999994</v>
      </c>
      <c r="R5" s="63">
        <v>429975017.49999994</v>
      </c>
      <c r="S5" s="63">
        <v>440372246.99999994</v>
      </c>
      <c r="T5" s="63">
        <v>450769476.49999994</v>
      </c>
      <c r="U5" s="63">
        <v>461166705.99999994</v>
      </c>
      <c r="V5" s="63">
        <v>471563935.50000042</v>
      </c>
      <c r="W5" s="63">
        <v>481961164.99999994</v>
      </c>
      <c r="X5" s="63">
        <v>492212724</v>
      </c>
      <c r="Y5" s="63">
        <v>503392683</v>
      </c>
      <c r="Z5" s="63">
        <v>514572641.99999994</v>
      </c>
      <c r="AA5" s="63">
        <v>525752600.99999994</v>
      </c>
      <c r="AB5" s="63">
        <v>536932559.99999988</v>
      </c>
      <c r="AC5" s="63">
        <v>548112518.99999988</v>
      </c>
      <c r="AD5" s="63">
        <v>559292477.99999976</v>
      </c>
      <c r="AE5" s="63">
        <v>570472436.99999976</v>
      </c>
      <c r="AF5" s="63">
        <v>581652395.99999964</v>
      </c>
      <c r="AG5" s="63">
        <f t="shared" ref="AG5:BD5" si="2">AG29</f>
        <v>592832354.99999952</v>
      </c>
      <c r="AH5" s="63">
        <f t="shared" si="2"/>
        <v>598760239</v>
      </c>
      <c r="AI5" s="63">
        <f t="shared" si="2"/>
        <v>607098748.00000012</v>
      </c>
      <c r="AJ5" s="63">
        <f t="shared" si="2"/>
        <v>615437257.00000012</v>
      </c>
      <c r="AK5" s="63">
        <f t="shared" si="2"/>
        <v>623775766.00000012</v>
      </c>
      <c r="AL5" s="63">
        <f t="shared" si="2"/>
        <v>632114275.00000012</v>
      </c>
      <c r="AM5" s="63">
        <f t="shared" si="2"/>
        <v>640452784.00000024</v>
      </c>
      <c r="AN5" s="63">
        <f t="shared" si="2"/>
        <v>648791293.00000024</v>
      </c>
      <c r="AO5" s="63">
        <f t="shared" si="2"/>
        <v>657129802.00000024</v>
      </c>
      <c r="AP5" s="63">
        <f t="shared" si="2"/>
        <v>665468311.00000036</v>
      </c>
      <c r="AQ5" s="63">
        <f t="shared" si="2"/>
        <v>673806820</v>
      </c>
      <c r="AR5" s="63">
        <f t="shared" si="2"/>
        <v>681421351.5</v>
      </c>
      <c r="AS5" s="63">
        <f t="shared" si="2"/>
        <v>689035883.00000012</v>
      </c>
      <c r="AT5" s="63">
        <f t="shared" si="2"/>
        <v>696650414.50000012</v>
      </c>
      <c r="AU5" s="63">
        <f t="shared" si="2"/>
        <v>704264946.00000012</v>
      </c>
      <c r="AV5" s="63">
        <f t="shared" si="2"/>
        <v>727373807.50000012</v>
      </c>
      <c r="AW5" s="63">
        <f t="shared" si="2"/>
        <v>733966669.00000024</v>
      </c>
      <c r="AX5" s="63">
        <f t="shared" si="2"/>
        <v>740559530.50000036</v>
      </c>
      <c r="AY5" s="63">
        <f t="shared" si="2"/>
        <v>755710401</v>
      </c>
      <c r="AZ5" s="63">
        <f t="shared" si="2"/>
        <v>739815970</v>
      </c>
      <c r="BA5" s="63">
        <f t="shared" si="2"/>
        <v>741836310</v>
      </c>
      <c r="BB5" s="63">
        <f t="shared" si="2"/>
        <v>744190990</v>
      </c>
      <c r="BC5" s="63">
        <f t="shared" si="2"/>
        <v>746814840</v>
      </c>
      <c r="BD5" s="63">
        <f t="shared" si="2"/>
        <v>751587280</v>
      </c>
    </row>
    <row r="6" spans="1:56" s="63" customFormat="1" x14ac:dyDescent="0.25">
      <c r="A6" s="13">
        <v>4</v>
      </c>
      <c r="B6" s="63" t="s">
        <v>167</v>
      </c>
      <c r="C6" s="63">
        <v>208839594.15954858</v>
      </c>
      <c r="D6" s="63">
        <v>217404776.2723411</v>
      </c>
      <c r="E6" s="63">
        <v>227817731.24021393</v>
      </c>
      <c r="F6" s="63">
        <v>241031033.67521861</v>
      </c>
      <c r="G6" s="63">
        <v>253347035.841876</v>
      </c>
      <c r="H6" s="63">
        <v>266100485.66484213</v>
      </c>
      <c r="I6" s="63">
        <v>278170336.18429446</v>
      </c>
      <c r="J6" s="63">
        <v>287970329.15083814</v>
      </c>
      <c r="K6" s="63">
        <v>297627658.56181437</v>
      </c>
      <c r="L6" s="63">
        <v>307046549.95126021</v>
      </c>
      <c r="M6" s="63">
        <v>316852490.33237278</v>
      </c>
      <c r="N6" s="63">
        <v>326914209.36660922</v>
      </c>
      <c r="O6" s="63">
        <v>333894443.82721162</v>
      </c>
      <c r="P6" s="63">
        <v>338464560.63195187</v>
      </c>
      <c r="Q6" s="63">
        <v>342732601.54140562</v>
      </c>
      <c r="R6" s="63">
        <v>346942653.81990832</v>
      </c>
      <c r="S6" s="63">
        <v>350501806.72684985</v>
      </c>
      <c r="T6" s="63">
        <v>354671093.1673972</v>
      </c>
      <c r="U6" s="63">
        <v>358435412.79996836</v>
      </c>
      <c r="V6" s="63">
        <v>361612972.68942773</v>
      </c>
      <c r="W6" s="63">
        <v>366450212.0400663</v>
      </c>
      <c r="X6" s="63">
        <v>369019127.3387742</v>
      </c>
      <c r="Y6" s="63">
        <v>369489263.03766483</v>
      </c>
      <c r="Z6" s="63">
        <v>370719765.13781023</v>
      </c>
      <c r="AA6" s="63">
        <v>373815445.71267694</v>
      </c>
      <c r="AB6" s="63">
        <v>376537093.13243425</v>
      </c>
      <c r="AC6" s="63">
        <v>381438777.21622616</v>
      </c>
      <c r="AD6" s="63">
        <v>386717351.73247284</v>
      </c>
      <c r="AE6" s="63">
        <v>393043137.15867174</v>
      </c>
      <c r="AF6" s="63">
        <v>397377500.7339105</v>
      </c>
      <c r="AG6" s="63">
        <v>400412166.6467191</v>
      </c>
      <c r="AH6" s="63">
        <v>401005479.61513031</v>
      </c>
      <c r="AI6" s="63">
        <v>403194771.88893515</v>
      </c>
      <c r="AJ6" s="63">
        <v>409510807.32627183</v>
      </c>
      <c r="AK6" s="63">
        <v>414748507.71297866</v>
      </c>
      <c r="AL6" s="63">
        <v>419493631.65910679</v>
      </c>
      <c r="AM6" s="63">
        <v>424419907.82439792</v>
      </c>
      <c r="AN6" s="63">
        <v>429020364.38983035</v>
      </c>
      <c r="AO6" s="63">
        <v>433208768.67897344</v>
      </c>
      <c r="AP6" s="63">
        <v>437662200</v>
      </c>
      <c r="AQ6" s="63">
        <v>443998100</v>
      </c>
      <c r="AR6" s="63">
        <v>452779600</v>
      </c>
      <c r="AS6" s="63">
        <v>466314100</v>
      </c>
      <c r="AT6" s="63">
        <v>477265100</v>
      </c>
      <c r="AU6" s="63">
        <v>497515700</v>
      </c>
      <c r="AV6" s="63">
        <v>499230900</v>
      </c>
      <c r="AW6" s="63">
        <v>446325600</v>
      </c>
      <c r="AX6" s="63">
        <f t="shared" ref="AX6:BC6" si="3">AX38</f>
        <v>457352900</v>
      </c>
      <c r="AY6" s="63">
        <f t="shared" si="3"/>
        <v>431911900</v>
      </c>
      <c r="AZ6" s="63">
        <f t="shared" si="3"/>
        <v>433627800</v>
      </c>
      <c r="BA6" s="63">
        <f t="shared" si="3"/>
        <v>417209000</v>
      </c>
      <c r="BB6" s="63">
        <f t="shared" si="3"/>
        <v>416187100</v>
      </c>
      <c r="BC6" s="63">
        <f t="shared" si="3"/>
        <v>401156500</v>
      </c>
      <c r="BD6" s="63">
        <f>BD38</f>
        <v>401156500</v>
      </c>
    </row>
    <row r="8" spans="1:56" x14ac:dyDescent="0.25">
      <c r="A8" s="125" t="s">
        <v>5</v>
      </c>
      <c r="B8" s="125"/>
    </row>
    <row r="9" spans="1:56" x14ac:dyDescent="0.25">
      <c r="A9" s="14">
        <v>1</v>
      </c>
      <c r="B9" s="14" t="s">
        <v>168</v>
      </c>
    </row>
    <row r="10" spans="1:56" x14ac:dyDescent="0.25">
      <c r="A10" s="14">
        <v>2</v>
      </c>
      <c r="B10" s="14" t="s">
        <v>169</v>
      </c>
    </row>
    <row r="11" spans="1:56" x14ac:dyDescent="0.25">
      <c r="A11" s="14">
        <v>3</v>
      </c>
      <c r="B11" s="14" t="s">
        <v>170</v>
      </c>
    </row>
    <row r="12" spans="1:56" x14ac:dyDescent="0.25">
      <c r="A12" s="14">
        <v>4</v>
      </c>
      <c r="B12" s="14" t="s">
        <v>171</v>
      </c>
    </row>
    <row r="15" spans="1:56" ht="14" x14ac:dyDescent="0.3">
      <c r="A15" s="125" t="s">
        <v>10</v>
      </c>
      <c r="B15" s="130"/>
    </row>
    <row r="16" spans="1:56" s="18" customFormat="1" x14ac:dyDescent="0.25">
      <c r="A16" s="18">
        <v>1</v>
      </c>
      <c r="B16" s="18" t="s">
        <v>172</v>
      </c>
      <c r="C16" s="18">
        <f>C39/1000000000</f>
        <v>0.51919888583343432</v>
      </c>
      <c r="D16" s="18">
        <f t="shared" ref="D16:BB16" si="4">D39/1000000000</f>
        <v>0.53728637376545962</v>
      </c>
      <c r="E16" s="18">
        <f t="shared" si="4"/>
        <v>0.55661218455256523</v>
      </c>
      <c r="F16" s="18">
        <f t="shared" si="4"/>
        <v>0.57873834280680259</v>
      </c>
      <c r="G16" s="18">
        <f t="shared" si="4"/>
        <v>0.59996720079269283</v>
      </c>
      <c r="H16" s="18">
        <f t="shared" si="4"/>
        <v>0.62163350643489157</v>
      </c>
      <c r="I16" s="18">
        <f t="shared" si="4"/>
        <v>0.64261621277357672</v>
      </c>
      <c r="J16" s="18">
        <f t="shared" si="4"/>
        <v>0.66132906155935312</v>
      </c>
      <c r="K16" s="18">
        <f t="shared" si="4"/>
        <v>0.67989924678956215</v>
      </c>
      <c r="L16" s="18">
        <f t="shared" si="4"/>
        <v>0.69823099399824073</v>
      </c>
      <c r="M16" s="18">
        <f t="shared" si="4"/>
        <v>0.71694979019858651</v>
      </c>
      <c r="N16" s="18">
        <f t="shared" si="4"/>
        <v>0.71737614648160908</v>
      </c>
      <c r="O16" s="18">
        <f t="shared" si="4"/>
        <v>0.73481446525721161</v>
      </c>
      <c r="P16" s="18">
        <f t="shared" si="4"/>
        <v>0.74984266637695185</v>
      </c>
      <c r="Q16" s="18">
        <f t="shared" si="4"/>
        <v>0.76456879160140545</v>
      </c>
      <c r="R16" s="18">
        <f t="shared" si="4"/>
        <v>0.77923692819490831</v>
      </c>
      <c r="S16" s="18">
        <f t="shared" si="4"/>
        <v>0.7932541654168499</v>
      </c>
      <c r="T16" s="18">
        <f t="shared" si="4"/>
        <v>0.81362498677239714</v>
      </c>
      <c r="U16" s="18">
        <f t="shared" si="4"/>
        <v>0.8338772169199683</v>
      </c>
      <c r="V16" s="18">
        <f t="shared" si="4"/>
        <v>0.85382906292442806</v>
      </c>
      <c r="W16" s="18">
        <f t="shared" si="4"/>
        <v>0.87572696399006633</v>
      </c>
      <c r="X16" s="18">
        <f t="shared" si="4"/>
        <v>0.89401333174877418</v>
      </c>
      <c r="Y16" s="18">
        <f t="shared" si="4"/>
        <v>0.90633425590766492</v>
      </c>
      <c r="Z16" s="18">
        <f t="shared" si="4"/>
        <v>0.91941554646781032</v>
      </c>
      <c r="AA16" s="18">
        <f t="shared" si="4"/>
        <v>0.93436201550267683</v>
      </c>
      <c r="AB16" s="18">
        <f t="shared" si="4"/>
        <v>0.94893445138243415</v>
      </c>
      <c r="AC16" s="18">
        <f t="shared" si="4"/>
        <v>0.96568692392622613</v>
      </c>
      <c r="AD16" s="18">
        <f t="shared" si="4"/>
        <v>0.98281628690247269</v>
      </c>
      <c r="AE16" s="18">
        <f t="shared" si="4"/>
        <v>1.0009928607886716</v>
      </c>
      <c r="AF16" s="18">
        <f t="shared" si="4"/>
        <v>1.0171780128239101</v>
      </c>
      <c r="AG16" s="18">
        <f t="shared" si="4"/>
        <v>1.0320634671967186</v>
      </c>
      <c r="AH16" s="18">
        <f t="shared" si="4"/>
        <v>1.0326717979535003</v>
      </c>
      <c r="AI16" s="18">
        <f t="shared" si="4"/>
        <v>1.0434002957156754</v>
      </c>
      <c r="AJ16" s="18">
        <f t="shared" si="4"/>
        <v>1.0582555366413819</v>
      </c>
      <c r="AK16" s="18">
        <f t="shared" si="4"/>
        <v>1.0720324425164589</v>
      </c>
      <c r="AL16" s="18">
        <f t="shared" si="4"/>
        <v>1.0853167719509571</v>
      </c>
      <c r="AM16" s="18">
        <f t="shared" si="4"/>
        <v>1.0987822536046181</v>
      </c>
      <c r="AN16" s="18">
        <f t="shared" si="4"/>
        <v>1.1119219156584206</v>
      </c>
      <c r="AO16" s="18">
        <f t="shared" si="4"/>
        <v>1.1246495254359337</v>
      </c>
      <c r="AP16" s="18">
        <f t="shared" si="4"/>
        <v>1.1376421622453305</v>
      </c>
      <c r="AQ16" s="18">
        <f t="shared" si="4"/>
        <v>1.1525172677336999</v>
      </c>
      <c r="AR16" s="18">
        <f t="shared" si="4"/>
        <v>1.1787835127162583</v>
      </c>
      <c r="AS16" s="18">
        <f t="shared" si="4"/>
        <v>1.2008237280821499</v>
      </c>
      <c r="AT16" s="18">
        <f t="shared" si="4"/>
        <v>1.2202804434480417</v>
      </c>
      <c r="AU16" s="18">
        <f t="shared" si="4"/>
        <v>1.2490367588139333</v>
      </c>
      <c r="AV16" s="18">
        <f t="shared" si="4"/>
        <v>1.274752004179825</v>
      </c>
      <c r="AW16" s="18">
        <f t="shared" si="4"/>
        <v>1.2293307495457169</v>
      </c>
      <c r="AX16" s="18">
        <f t="shared" si="4"/>
        <v>1.2478420949116089</v>
      </c>
      <c r="AY16" s="18">
        <f t="shared" si="4"/>
        <v>1.2384431492775001</v>
      </c>
      <c r="AZ16" s="18">
        <f t="shared" si="4"/>
        <v>1.2251558021433917</v>
      </c>
      <c r="BA16" s="18">
        <f t="shared" si="4"/>
        <v>1.2116485260092833</v>
      </c>
      <c r="BB16" s="18">
        <f t="shared" si="4"/>
        <v>1.2138724898751749</v>
      </c>
      <c r="BC16" s="18">
        <f>BC39/1000000000</f>
        <v>1.2023569237410667</v>
      </c>
      <c r="BD16" s="18">
        <f>BD39/1000000000</f>
        <v>1.2080205476069583</v>
      </c>
    </row>
    <row r="17" spans="1:59" s="21" customFormat="1" x14ac:dyDescent="0.25">
      <c r="A17" s="21">
        <v>2</v>
      </c>
      <c r="B17" s="21" t="s">
        <v>173</v>
      </c>
      <c r="C17" s="21">
        <v>1155</v>
      </c>
      <c r="M17" s="21">
        <v>1872</v>
      </c>
      <c r="W17" s="21">
        <v>2803</v>
      </c>
      <c r="AG17" s="50">
        <v>3607</v>
      </c>
      <c r="AQ17" s="50">
        <v>3847.538</v>
      </c>
      <c r="AW17" s="64">
        <v>4488.3969999999999</v>
      </c>
    </row>
    <row r="18" spans="1:59" s="21" customFormat="1" ht="14.5" x14ac:dyDescent="0.35">
      <c r="A18" s="21">
        <v>3</v>
      </c>
      <c r="B18" s="21" t="s">
        <v>174</v>
      </c>
      <c r="D18" s="21">
        <f>C17+($M17-$C17)/10</f>
        <v>1226.7</v>
      </c>
      <c r="E18" s="21">
        <f>D18+($M17-$C17)/10</f>
        <v>1298.4000000000001</v>
      </c>
      <c r="F18" s="21">
        <f t="shared" ref="F18:K18" si="5">E18+($M17-$C17)/10</f>
        <v>1370.1000000000001</v>
      </c>
      <c r="G18" s="21">
        <f t="shared" si="5"/>
        <v>1441.8000000000002</v>
      </c>
      <c r="H18" s="21">
        <f t="shared" si="5"/>
        <v>1513.5000000000002</v>
      </c>
      <c r="I18" s="21">
        <f t="shared" si="5"/>
        <v>1585.2000000000003</v>
      </c>
      <c r="J18" s="21">
        <f t="shared" si="5"/>
        <v>1656.9000000000003</v>
      </c>
      <c r="K18" s="21">
        <f t="shared" si="5"/>
        <v>1728.6000000000004</v>
      </c>
      <c r="L18" s="21">
        <f>K18+($M17-$C17)/10</f>
        <v>1800.3000000000004</v>
      </c>
      <c r="N18" s="21">
        <f>M17+($W17-$M17)/10</f>
        <v>1965.1</v>
      </c>
      <c r="O18" s="21">
        <f>N18+($W17-$M17)/10</f>
        <v>2058.1999999999998</v>
      </c>
      <c r="P18" s="21">
        <f t="shared" ref="P18:V18" si="6">O18+($W17-$M17)/10</f>
        <v>2151.2999999999997</v>
      </c>
      <c r="Q18" s="21">
        <f t="shared" si="6"/>
        <v>2244.3999999999996</v>
      </c>
      <c r="R18" s="21">
        <f t="shared" si="6"/>
        <v>2337.4999999999995</v>
      </c>
      <c r="S18" s="21">
        <f t="shared" si="6"/>
        <v>2430.5999999999995</v>
      </c>
      <c r="T18" s="21">
        <f t="shared" si="6"/>
        <v>2523.6999999999994</v>
      </c>
      <c r="U18" s="21">
        <f t="shared" si="6"/>
        <v>2616.7999999999993</v>
      </c>
      <c r="V18" s="21">
        <f t="shared" si="6"/>
        <v>2709.8999999999992</v>
      </c>
      <c r="X18" s="21">
        <f>W17+($AG17-$W17)/10</f>
        <v>2883.4</v>
      </c>
      <c r="Y18" s="21">
        <f>X18+($AG17-$W17)/10</f>
        <v>2963.8</v>
      </c>
      <c r="Z18" s="21">
        <f t="shared" ref="Z18:AF18" si="7">Y18+($AG17-$W17)/10</f>
        <v>3044.2000000000003</v>
      </c>
      <c r="AA18" s="21">
        <f t="shared" si="7"/>
        <v>3124.6000000000004</v>
      </c>
      <c r="AB18" s="21">
        <f t="shared" si="7"/>
        <v>3205.0000000000005</v>
      </c>
      <c r="AC18" s="21">
        <f t="shared" si="7"/>
        <v>3285.4000000000005</v>
      </c>
      <c r="AD18" s="21">
        <f t="shared" si="7"/>
        <v>3365.8000000000006</v>
      </c>
      <c r="AE18" s="21">
        <f t="shared" si="7"/>
        <v>3446.2000000000007</v>
      </c>
      <c r="AF18" s="21">
        <f t="shared" si="7"/>
        <v>3526.6000000000008</v>
      </c>
      <c r="AG18" s="50"/>
      <c r="AH18" s="21">
        <f>AG17+($AQ17-$AG17)/10</f>
        <v>3631.0538000000001</v>
      </c>
      <c r="AI18" s="21">
        <f>AH18+($AQ17-$AG17)/10</f>
        <v>3655.1076000000003</v>
      </c>
      <c r="AJ18" s="21">
        <f t="shared" ref="AJ18:AP18" si="8">AI18+($AQ17-$AG17)/10</f>
        <v>3679.1614000000004</v>
      </c>
      <c r="AK18" s="21">
        <f t="shared" si="8"/>
        <v>3703.2152000000006</v>
      </c>
      <c r="AL18" s="21">
        <f t="shared" si="8"/>
        <v>3727.2690000000007</v>
      </c>
      <c r="AM18" s="21">
        <f t="shared" si="8"/>
        <v>3751.3228000000008</v>
      </c>
      <c r="AN18" s="21">
        <f t="shared" si="8"/>
        <v>3775.376600000001</v>
      </c>
      <c r="AO18" s="21">
        <f t="shared" si="8"/>
        <v>3799.4304000000011</v>
      </c>
      <c r="AP18" s="21">
        <f t="shared" si="8"/>
        <v>3823.4842000000012</v>
      </c>
      <c r="AQ18" s="50"/>
      <c r="AR18" s="21">
        <f>AQ17+($AW17-$AQ17)/6</f>
        <v>3954.3478333333333</v>
      </c>
      <c r="AS18" s="21">
        <f>AR18+($AW17-$AQ17)/6</f>
        <v>4061.1576666666665</v>
      </c>
      <c r="AT18" s="21">
        <f>AS18+($AW17-$AQ17)/6</f>
        <v>4167.9674999999997</v>
      </c>
      <c r="AU18" s="21">
        <f>AT18+($AW17-$AQ17)/6</f>
        <v>4274.7773333333334</v>
      </c>
      <c r="AV18" s="21">
        <f>AU18+($AW17-$AQ17)/6</f>
        <v>4381.5871666666671</v>
      </c>
      <c r="AW18" s="65"/>
      <c r="AX18" s="21">
        <f>AW17+($AW17-$AQ17)/6</f>
        <v>4595.2068333333336</v>
      </c>
      <c r="AY18" s="21">
        <f t="shared" ref="AY18:BD18" si="9">AX18+($AW17-$AQ17)/6</f>
        <v>4702.0166666666673</v>
      </c>
      <c r="AZ18" s="21">
        <f t="shared" si="9"/>
        <v>4808.826500000001</v>
      </c>
      <c r="BA18" s="21">
        <f t="shared" si="9"/>
        <v>4915.6363333333347</v>
      </c>
      <c r="BB18" s="21">
        <f t="shared" si="9"/>
        <v>5022.4461666666684</v>
      </c>
      <c r="BC18" s="21">
        <f t="shared" si="9"/>
        <v>5129.2560000000021</v>
      </c>
      <c r="BD18" s="21">
        <f t="shared" si="9"/>
        <v>5236.0658333333358</v>
      </c>
    </row>
    <row r="19" spans="1:59" s="21" customFormat="1" x14ac:dyDescent="0.25">
      <c r="A19" s="21">
        <v>4</v>
      </c>
      <c r="B19" s="21" t="s">
        <v>175</v>
      </c>
      <c r="C19" s="21">
        <f>C17*0.0769</f>
        <v>88.819499999999991</v>
      </c>
      <c r="D19" s="21">
        <f>D18*0.0769+(D18-C17)</f>
        <v>166.03323000000006</v>
      </c>
      <c r="E19" s="21">
        <f>E18*0.0769+(E18-D18)</f>
        <v>171.54696000000004</v>
      </c>
      <c r="F19" s="21">
        <f t="shared" ref="F19:L19" si="10">F18*0.0769+(F18-E18)</f>
        <v>177.06069000000005</v>
      </c>
      <c r="G19" s="21">
        <f t="shared" si="10"/>
        <v>182.57442000000006</v>
      </c>
      <c r="H19" s="21">
        <f t="shared" si="10"/>
        <v>188.08815000000004</v>
      </c>
      <c r="I19" s="21">
        <f t="shared" si="10"/>
        <v>193.60188000000005</v>
      </c>
      <c r="J19" s="21">
        <f t="shared" si="10"/>
        <v>199.11561000000006</v>
      </c>
      <c r="K19" s="21">
        <f t="shared" si="10"/>
        <v>204.62934000000007</v>
      </c>
      <c r="L19" s="21">
        <f t="shared" si="10"/>
        <v>210.14307000000008</v>
      </c>
      <c r="M19" s="21">
        <f>M17*0.0769+(M17-L18)</f>
        <v>215.65679999999958</v>
      </c>
      <c r="N19" s="21">
        <f>N18*0.0769+(N18-M17)</f>
        <v>244.2161899999999</v>
      </c>
      <c r="O19" s="21">
        <f t="shared" ref="O19:V19" si="11">O18*0.0769+(O18-N18)</f>
        <v>251.3755799999999</v>
      </c>
      <c r="P19" s="21">
        <f t="shared" si="11"/>
        <v>258.53496999999987</v>
      </c>
      <c r="Q19" s="21">
        <f t="shared" si="11"/>
        <v>265.69435999999985</v>
      </c>
      <c r="R19" s="21">
        <f t="shared" si="11"/>
        <v>272.85374999999988</v>
      </c>
      <c r="S19" s="21">
        <f t="shared" si="11"/>
        <v>280.01313999999985</v>
      </c>
      <c r="T19" s="21">
        <f t="shared" si="11"/>
        <v>287.17252999999982</v>
      </c>
      <c r="U19" s="21">
        <f t="shared" si="11"/>
        <v>294.33191999999985</v>
      </c>
      <c r="V19" s="21">
        <f t="shared" si="11"/>
        <v>301.49130999999983</v>
      </c>
      <c r="W19" s="21">
        <f>W17*0.0769+(W17-V18)</f>
        <v>308.65070000000082</v>
      </c>
      <c r="X19" s="21">
        <f>X18*0.0769+(X18-W17)</f>
        <v>302.13346000000013</v>
      </c>
      <c r="Y19" s="21">
        <f t="shared" ref="Y19:AF19" si="12">Y18*0.0769+(Y18-X18)</f>
        <v>308.3162200000001</v>
      </c>
      <c r="Z19" s="21">
        <f t="shared" si="12"/>
        <v>314.49898000000007</v>
      </c>
      <c r="AA19" s="21">
        <f t="shared" si="12"/>
        <v>320.6817400000001</v>
      </c>
      <c r="AB19" s="21">
        <f t="shared" si="12"/>
        <v>326.86450000000013</v>
      </c>
      <c r="AC19" s="21">
        <f t="shared" si="12"/>
        <v>333.04726000000011</v>
      </c>
      <c r="AD19" s="21">
        <f t="shared" si="12"/>
        <v>339.23002000000014</v>
      </c>
      <c r="AE19" s="21">
        <f t="shared" si="12"/>
        <v>345.41278000000011</v>
      </c>
      <c r="AF19" s="21">
        <f t="shared" si="12"/>
        <v>351.59554000000014</v>
      </c>
      <c r="AG19" s="21">
        <f>AG17*0.0769+(AG17-AF18)</f>
        <v>357.77829999999915</v>
      </c>
      <c r="AH19" s="21">
        <f>AH18*0.0769+(AH18-AG17)</f>
        <v>303.28183722000011</v>
      </c>
      <c r="AI19" s="21">
        <f t="shared" ref="AI19:AP19" si="13">AI18*0.0769+(AI18-AH18)</f>
        <v>305.13157444000012</v>
      </c>
      <c r="AJ19" s="21">
        <f t="shared" si="13"/>
        <v>306.98131166000013</v>
      </c>
      <c r="AK19" s="21">
        <f t="shared" si="13"/>
        <v>308.83104888000014</v>
      </c>
      <c r="AL19" s="21">
        <f t="shared" si="13"/>
        <v>310.68078610000015</v>
      </c>
      <c r="AM19" s="21">
        <f t="shared" si="13"/>
        <v>312.53052332000021</v>
      </c>
      <c r="AN19" s="21">
        <f t="shared" si="13"/>
        <v>314.38026054000022</v>
      </c>
      <c r="AO19" s="21">
        <f t="shared" si="13"/>
        <v>316.22999776000023</v>
      </c>
      <c r="AP19" s="21">
        <f t="shared" si="13"/>
        <v>318.07973498000024</v>
      </c>
      <c r="AQ19" s="21">
        <f>AQ17*0.0769+(AQ17-AP18)</f>
        <v>319.92947219999877</v>
      </c>
      <c r="AR19" s="21">
        <f>AR18*0.0769+(AR18-AQ17)</f>
        <v>410.89918171666653</v>
      </c>
      <c r="AS19" s="21">
        <f>AS18*0.0769+(AS18-AR18)</f>
        <v>419.11285789999988</v>
      </c>
      <c r="AT19" s="21">
        <f>AT18*0.0769+(AT18-AS18)</f>
        <v>427.32653408333323</v>
      </c>
      <c r="AU19" s="21">
        <f>AU18*0.0769+(AU18-AT18)</f>
        <v>435.54021026666703</v>
      </c>
      <c r="AV19" s="21">
        <f>AV18*0.0769+(AV18-AU18)</f>
        <v>443.75388645000038</v>
      </c>
      <c r="AW19" s="21">
        <f>AW17*0.0769+(AW17-AV18)</f>
        <v>451.96756263333276</v>
      </c>
      <c r="AX19" s="21">
        <f>AX18*0.0769+(AX18-AW17)</f>
        <v>460.18123881666702</v>
      </c>
      <c r="AY19" s="21">
        <f t="shared" ref="AY19:BD19" si="14">AY18*0.0769+(AY18-AX18)</f>
        <v>468.39491500000042</v>
      </c>
      <c r="AZ19" s="21">
        <f t="shared" si="14"/>
        <v>476.60859118333377</v>
      </c>
      <c r="BA19" s="21">
        <f t="shared" si="14"/>
        <v>484.82226736666712</v>
      </c>
      <c r="BB19" s="21">
        <f t="shared" si="14"/>
        <v>493.03594355000047</v>
      </c>
      <c r="BC19" s="21">
        <f t="shared" si="14"/>
        <v>501.24961973333382</v>
      </c>
      <c r="BD19" s="21">
        <f t="shared" si="14"/>
        <v>509.46329591666722</v>
      </c>
    </row>
    <row r="20" spans="1:59" s="18" customFormat="1" x14ac:dyDescent="0.25">
      <c r="A20" s="18">
        <v>5</v>
      </c>
      <c r="B20" s="18" t="s">
        <v>176</v>
      </c>
      <c r="C20" s="18">
        <f>C19*8.5</f>
        <v>754.96574999999996</v>
      </c>
      <c r="D20" s="18">
        <f t="shared" ref="D20:S20" si="15">D19*8.5</f>
        <v>1411.2824550000005</v>
      </c>
      <c r="E20" s="18">
        <f t="shared" si="15"/>
        <v>1458.1491600000004</v>
      </c>
      <c r="F20" s="18">
        <f t="shared" si="15"/>
        <v>1505.0158650000005</v>
      </c>
      <c r="G20" s="18">
        <f t="shared" si="15"/>
        <v>1551.8825700000004</v>
      </c>
      <c r="H20" s="18">
        <f t="shared" si="15"/>
        <v>1598.7492750000004</v>
      </c>
      <c r="I20" s="18">
        <f t="shared" si="15"/>
        <v>1645.6159800000005</v>
      </c>
      <c r="J20" s="18">
        <f t="shared" si="15"/>
        <v>1692.4826850000004</v>
      </c>
      <c r="K20" s="18">
        <f t="shared" si="15"/>
        <v>1739.3493900000005</v>
      </c>
      <c r="L20" s="18">
        <f t="shared" si="15"/>
        <v>1786.2160950000007</v>
      </c>
      <c r="M20" s="18">
        <f t="shared" si="15"/>
        <v>1833.0827999999965</v>
      </c>
      <c r="N20" s="18">
        <f t="shared" si="15"/>
        <v>2075.837614999999</v>
      </c>
      <c r="O20" s="18">
        <f t="shared" si="15"/>
        <v>2136.6924299999991</v>
      </c>
      <c r="P20" s="18">
        <f t="shared" si="15"/>
        <v>2197.5472449999988</v>
      </c>
      <c r="Q20" s="18">
        <f t="shared" si="15"/>
        <v>2258.4020599999985</v>
      </c>
      <c r="R20" s="18">
        <f t="shared" si="15"/>
        <v>2319.2568749999991</v>
      </c>
      <c r="S20" s="18">
        <f t="shared" si="15"/>
        <v>2380.1116899999988</v>
      </c>
      <c r="T20" s="18">
        <f>T19*28.5</f>
        <v>8184.417104999995</v>
      </c>
      <c r="U20" s="18">
        <f>U19*48.5</f>
        <v>14275.098119999993</v>
      </c>
      <c r="V20" s="18">
        <f>V19*68.5</f>
        <v>20652.154734999989</v>
      </c>
      <c r="W20" s="18">
        <f>W19*88.5</f>
        <v>27315.586950000074</v>
      </c>
      <c r="X20" s="18">
        <f t="shared" ref="X20:BB20" si="16">X19*108.5</f>
        <v>32781.480410000011</v>
      </c>
      <c r="Y20" s="18">
        <f t="shared" si="16"/>
        <v>33452.309870000012</v>
      </c>
      <c r="Z20" s="18">
        <f t="shared" si="16"/>
        <v>34123.139330000005</v>
      </c>
      <c r="AA20" s="18">
        <f t="shared" si="16"/>
        <v>34793.968790000014</v>
      </c>
      <c r="AB20" s="18">
        <f t="shared" si="16"/>
        <v>35464.798250000014</v>
      </c>
      <c r="AC20" s="18">
        <f t="shared" si="16"/>
        <v>36135.627710000015</v>
      </c>
      <c r="AD20" s="18">
        <f t="shared" si="16"/>
        <v>36806.457170000016</v>
      </c>
      <c r="AE20" s="18">
        <f t="shared" si="16"/>
        <v>37477.28663000001</v>
      </c>
      <c r="AF20" s="18">
        <f t="shared" si="16"/>
        <v>38148.116090000018</v>
      </c>
      <c r="AG20" s="18">
        <f t="shared" si="16"/>
        <v>38818.945549999909</v>
      </c>
      <c r="AH20" s="18">
        <f t="shared" si="16"/>
        <v>32906.079338370015</v>
      </c>
      <c r="AI20" s="18">
        <f t="shared" si="16"/>
        <v>33106.775826740013</v>
      </c>
      <c r="AJ20" s="18">
        <f t="shared" si="16"/>
        <v>33307.472315110012</v>
      </c>
      <c r="AK20" s="18">
        <f t="shared" si="16"/>
        <v>33508.168803480017</v>
      </c>
      <c r="AL20" s="18">
        <f t="shared" si="16"/>
        <v>33708.865291850016</v>
      </c>
      <c r="AM20" s="18">
        <f t="shared" si="16"/>
        <v>33909.561780220021</v>
      </c>
      <c r="AN20" s="18">
        <f t="shared" si="16"/>
        <v>34110.258268590027</v>
      </c>
      <c r="AO20" s="18">
        <f t="shared" si="16"/>
        <v>34310.954756960025</v>
      </c>
      <c r="AP20" s="18">
        <f t="shared" si="16"/>
        <v>34511.651245330024</v>
      </c>
      <c r="AQ20" s="18">
        <f t="shared" si="16"/>
        <v>34712.347733699869</v>
      </c>
      <c r="AR20" s="18">
        <f t="shared" si="16"/>
        <v>44582.56121625832</v>
      </c>
      <c r="AS20" s="18">
        <f t="shared" si="16"/>
        <v>45473.745082149988</v>
      </c>
      <c r="AT20" s="18">
        <f t="shared" si="16"/>
        <v>46364.928948041656</v>
      </c>
      <c r="AU20" s="18">
        <f t="shared" si="16"/>
        <v>47256.112813933374</v>
      </c>
      <c r="AV20" s="18">
        <f t="shared" si="16"/>
        <v>48147.296679825042</v>
      </c>
      <c r="AW20" s="18">
        <f t="shared" si="16"/>
        <v>49038.480545716608</v>
      </c>
      <c r="AX20" s="18">
        <f t="shared" si="16"/>
        <v>49929.66441160837</v>
      </c>
      <c r="AY20" s="18">
        <f t="shared" si="16"/>
        <v>50820.848277500045</v>
      </c>
      <c r="AZ20" s="18">
        <f t="shared" si="16"/>
        <v>51712.032143391712</v>
      </c>
      <c r="BA20" s="18">
        <f t="shared" si="16"/>
        <v>52603.21600928338</v>
      </c>
      <c r="BB20" s="18">
        <f t="shared" si="16"/>
        <v>53494.399875175048</v>
      </c>
      <c r="BC20" s="18">
        <f>BC19*108.5</f>
        <v>54385.583741066715</v>
      </c>
      <c r="BD20" s="18">
        <f>BD19*108.5</f>
        <v>55276.76760695839</v>
      </c>
    </row>
    <row r="21" spans="1:59" s="21" customFormat="1" x14ac:dyDescent="0.25">
      <c r="A21" s="21">
        <v>6</v>
      </c>
      <c r="B21" s="21" t="s">
        <v>177</v>
      </c>
      <c r="M21" s="50">
        <v>953470</v>
      </c>
      <c r="W21" s="50">
        <v>1232785</v>
      </c>
      <c r="AG21" s="66">
        <v>1533799</v>
      </c>
    </row>
    <row r="22" spans="1:59" s="21" customFormat="1" x14ac:dyDescent="0.25">
      <c r="A22" s="21">
        <v>7</v>
      </c>
      <c r="B22" s="21" t="s">
        <v>178</v>
      </c>
      <c r="M22" s="50">
        <v>243728</v>
      </c>
      <c r="W22" s="50">
        <v>294286</v>
      </c>
      <c r="AG22" s="66">
        <v>342523</v>
      </c>
      <c r="AU22" s="67">
        <v>381695</v>
      </c>
      <c r="AZ22" s="67">
        <v>411403</v>
      </c>
    </row>
    <row r="23" spans="1:59" s="50" customFormat="1" x14ac:dyDescent="0.25">
      <c r="A23" s="50">
        <v>8</v>
      </c>
      <c r="B23" s="50" t="s">
        <v>179</v>
      </c>
      <c r="C23" s="50">
        <v>934344</v>
      </c>
      <c r="M23" s="50">
        <v>1234469</v>
      </c>
      <c r="W23" s="50">
        <v>1549680</v>
      </c>
      <c r="AG23" s="66">
        <v>1891917</v>
      </c>
      <c r="AH23" s="50">
        <f t="shared" ref="AH23:AP23" si="17">AG23+(($AQ23-$AG23)/10)</f>
        <v>1917253.6</v>
      </c>
      <c r="AI23" s="50">
        <f t="shared" si="17"/>
        <v>1942590.2000000002</v>
      </c>
      <c r="AJ23" s="50">
        <f t="shared" si="17"/>
        <v>1967926.8000000003</v>
      </c>
      <c r="AK23" s="50">
        <f t="shared" si="17"/>
        <v>1993263.4000000004</v>
      </c>
      <c r="AL23" s="50">
        <f t="shared" si="17"/>
        <v>2018600.0000000005</v>
      </c>
      <c r="AM23" s="50">
        <f t="shared" si="17"/>
        <v>2043936.6000000006</v>
      </c>
      <c r="AN23" s="50">
        <f t="shared" si="17"/>
        <v>2069273.2000000007</v>
      </c>
      <c r="AO23" s="50">
        <f t="shared" si="17"/>
        <v>2094609.8000000007</v>
      </c>
      <c r="AP23" s="50">
        <f t="shared" si="17"/>
        <v>2119946.4000000008</v>
      </c>
      <c r="AQ23" s="66">
        <v>2145283</v>
      </c>
      <c r="AR23" s="50">
        <f t="shared" ref="AR23:AX23" si="18">AQ23+(($BA23-$AQ23)/10)</f>
        <v>2168636.1</v>
      </c>
      <c r="AS23" s="50">
        <f t="shared" si="18"/>
        <v>2191989.2000000002</v>
      </c>
      <c r="AT23" s="50">
        <f t="shared" si="18"/>
        <v>2215342.3000000003</v>
      </c>
      <c r="AU23" s="50">
        <f t="shared" si="18"/>
        <v>2238695.4000000004</v>
      </c>
      <c r="AV23" s="50">
        <f t="shared" si="18"/>
        <v>2262048.5000000005</v>
      </c>
      <c r="AW23" s="50">
        <f t="shared" si="18"/>
        <v>2285401.6000000006</v>
      </c>
      <c r="AX23" s="50">
        <f t="shared" si="18"/>
        <v>2308754.7000000007</v>
      </c>
      <c r="AY23" s="50">
        <v>2359193</v>
      </c>
      <c r="AZ23" s="50">
        <v>2371293</v>
      </c>
      <c r="BA23" s="66">
        <v>2378814</v>
      </c>
      <c r="BB23" s="66">
        <v>2387194</v>
      </c>
      <c r="BC23" s="66">
        <v>2395571</v>
      </c>
      <c r="BD23" s="68">
        <v>2404012</v>
      </c>
    </row>
    <row r="24" spans="1:59" s="50" customFormat="1" x14ac:dyDescent="0.25">
      <c r="A24" s="50">
        <v>9</v>
      </c>
      <c r="B24" s="50" t="s">
        <v>180</v>
      </c>
      <c r="C24" s="50">
        <f>C23*M21/M23</f>
        <v>721661.68099806481</v>
      </c>
      <c r="D24" s="50">
        <f>C24+($M21-$C24)/10</f>
        <v>744842.51289825828</v>
      </c>
      <c r="E24" s="50">
        <f t="shared" ref="E24:L24" si="19">D24+($M21-$C24)/10</f>
        <v>768023.34479845176</v>
      </c>
      <c r="F24" s="50">
        <f t="shared" si="19"/>
        <v>791204.17669864523</v>
      </c>
      <c r="G24" s="50">
        <f t="shared" si="19"/>
        <v>814385.0085988387</v>
      </c>
      <c r="H24" s="50">
        <f t="shared" si="19"/>
        <v>837565.84049903217</v>
      </c>
      <c r="I24" s="50">
        <f t="shared" si="19"/>
        <v>860746.67239922564</v>
      </c>
      <c r="J24" s="50">
        <f t="shared" si="19"/>
        <v>883927.50429941912</v>
      </c>
      <c r="K24" s="50">
        <f t="shared" si="19"/>
        <v>907108.33619961259</v>
      </c>
      <c r="L24" s="50">
        <f t="shared" si="19"/>
        <v>930289.16809980606</v>
      </c>
      <c r="N24" s="50">
        <f>M21+($W21-$M21)/10</f>
        <v>981401.5</v>
      </c>
      <c r="O24" s="50">
        <f>N24+($W21-$M21)/10</f>
        <v>1009333</v>
      </c>
      <c r="P24" s="50">
        <f t="shared" ref="P24:V24" si="20">O24+($W21-$M21)/10</f>
        <v>1037264.5</v>
      </c>
      <c r="Q24" s="50">
        <f t="shared" si="20"/>
        <v>1065196</v>
      </c>
      <c r="R24" s="50">
        <f t="shared" si="20"/>
        <v>1093127.5</v>
      </c>
      <c r="S24" s="50">
        <f t="shared" si="20"/>
        <v>1121059</v>
      </c>
      <c r="T24" s="50">
        <f t="shared" si="20"/>
        <v>1148990.5</v>
      </c>
      <c r="U24" s="50">
        <f t="shared" si="20"/>
        <v>1176922</v>
      </c>
      <c r="V24" s="50">
        <f t="shared" si="20"/>
        <v>1204853.5</v>
      </c>
      <c r="X24" s="50">
        <f>W21+($AG21-$W21)/10</f>
        <v>1262886.3999999999</v>
      </c>
      <c r="Y24" s="50">
        <f>X24+($AG21-$W21)/10</f>
        <v>1292987.7999999998</v>
      </c>
      <c r="Z24" s="50">
        <f t="shared" ref="Z24:AF24" si="21">Y24+($AG21-$W21)/10</f>
        <v>1323089.1999999997</v>
      </c>
      <c r="AA24" s="50">
        <f t="shared" si="21"/>
        <v>1353190.5999999996</v>
      </c>
      <c r="AB24" s="50">
        <f t="shared" si="21"/>
        <v>1383291.9999999995</v>
      </c>
      <c r="AC24" s="50">
        <f t="shared" si="21"/>
        <v>1413393.3999999994</v>
      </c>
      <c r="AD24" s="50">
        <f t="shared" si="21"/>
        <v>1443494.7999999993</v>
      </c>
      <c r="AE24" s="50">
        <f t="shared" si="21"/>
        <v>1473596.1999999993</v>
      </c>
      <c r="AF24" s="50">
        <f t="shared" si="21"/>
        <v>1503697.5999999992</v>
      </c>
      <c r="AG24" s="66">
        <v>1533799</v>
      </c>
      <c r="AH24" s="50">
        <f t="shared" ref="AH24:AX24" si="22">AH23-AH27</f>
        <v>1571932.6</v>
      </c>
      <c r="AI24" s="50">
        <f t="shared" si="22"/>
        <v>1594471.2000000002</v>
      </c>
      <c r="AJ24" s="50">
        <f t="shared" si="22"/>
        <v>1617009.8000000003</v>
      </c>
      <c r="AK24" s="50">
        <f t="shared" si="22"/>
        <v>1639548.4000000004</v>
      </c>
      <c r="AL24" s="50">
        <f t="shared" si="22"/>
        <v>1662087.0000000005</v>
      </c>
      <c r="AM24" s="50">
        <f t="shared" si="22"/>
        <v>1684625.6000000006</v>
      </c>
      <c r="AN24" s="50">
        <f t="shared" si="22"/>
        <v>1707164.2000000007</v>
      </c>
      <c r="AO24" s="50">
        <f t="shared" si="22"/>
        <v>1729702.8000000007</v>
      </c>
      <c r="AP24" s="50">
        <f t="shared" si="22"/>
        <v>1752241.4000000008</v>
      </c>
      <c r="AQ24" s="50">
        <f t="shared" si="22"/>
        <v>1774780</v>
      </c>
      <c r="AR24" s="50">
        <f t="shared" si="22"/>
        <v>1795335.1</v>
      </c>
      <c r="AS24" s="50">
        <f t="shared" si="22"/>
        <v>1815890.2000000002</v>
      </c>
      <c r="AT24" s="50">
        <f t="shared" si="22"/>
        <v>1836445.3000000003</v>
      </c>
      <c r="AU24" s="50">
        <f t="shared" si="22"/>
        <v>1857000.4000000004</v>
      </c>
      <c r="AV24" s="50">
        <f t="shared" si="22"/>
        <v>1874411.9000000004</v>
      </c>
      <c r="AW24" s="50">
        <f t="shared" si="22"/>
        <v>1891823.4000000006</v>
      </c>
      <c r="AX24" s="50">
        <f t="shared" si="22"/>
        <v>1909234.9000000008</v>
      </c>
      <c r="AY24" s="50">
        <v>1950093</v>
      </c>
      <c r="AZ24" s="50">
        <v>1959890</v>
      </c>
      <c r="BA24" s="50">
        <v>1965206</v>
      </c>
      <c r="BB24" s="50">
        <v>1971438</v>
      </c>
      <c r="BC24" s="50">
        <v>1977760</v>
      </c>
      <c r="BD24" s="68">
        <f>BD23-BD26</f>
        <v>1983504</v>
      </c>
      <c r="BG24" s="69">
        <f>BC24/BC23</f>
        <v>0.82559022462703047</v>
      </c>
    </row>
    <row r="25" spans="1:59" s="50" customFormat="1" x14ac:dyDescent="0.25">
      <c r="A25" s="50">
        <v>10</v>
      </c>
      <c r="B25" s="50" t="s">
        <v>181</v>
      </c>
      <c r="C25" s="50">
        <v>721661.68099806481</v>
      </c>
      <c r="D25" s="50">
        <v>744842.51289825828</v>
      </c>
      <c r="E25" s="50">
        <v>768023.34479845176</v>
      </c>
      <c r="F25" s="50">
        <v>791204.17669864523</v>
      </c>
      <c r="G25" s="50">
        <v>814385.0085988387</v>
      </c>
      <c r="H25" s="50">
        <v>837565.84049903217</v>
      </c>
      <c r="I25" s="50">
        <v>860746.67239922564</v>
      </c>
      <c r="J25" s="50">
        <v>883927.50429941912</v>
      </c>
      <c r="K25" s="50">
        <v>907108.33619961259</v>
      </c>
      <c r="L25" s="50">
        <v>930289.16809980606</v>
      </c>
      <c r="M25" s="50">
        <v>953470</v>
      </c>
      <c r="N25" s="50">
        <v>981401.5</v>
      </c>
      <c r="O25" s="50">
        <v>1009333</v>
      </c>
      <c r="P25" s="50">
        <v>1037264.5</v>
      </c>
      <c r="Q25" s="50">
        <v>1065196</v>
      </c>
      <c r="R25" s="50">
        <v>1093127.5</v>
      </c>
      <c r="S25" s="50">
        <v>1121059</v>
      </c>
      <c r="T25" s="50">
        <v>1148990.5</v>
      </c>
      <c r="U25" s="50">
        <v>1176922</v>
      </c>
      <c r="V25" s="50">
        <v>1204853.5</v>
      </c>
      <c r="W25" s="50">
        <v>1232785</v>
      </c>
      <c r="X25" s="50">
        <v>1262886.3999999999</v>
      </c>
      <c r="Y25" s="50">
        <v>1292987.7999999998</v>
      </c>
      <c r="Z25" s="50">
        <v>1323089.1999999997</v>
      </c>
      <c r="AA25" s="50">
        <v>1353190.5999999996</v>
      </c>
      <c r="AB25" s="50">
        <v>1383291.9999999995</v>
      </c>
      <c r="AC25" s="50">
        <v>1413393.3999999994</v>
      </c>
      <c r="AD25" s="50">
        <v>1443494.7999999993</v>
      </c>
      <c r="AE25" s="50">
        <v>1473596.1999999993</v>
      </c>
      <c r="AF25" s="50">
        <v>1503697.5999999992</v>
      </c>
      <c r="AG25" s="50">
        <f t="shared" ref="AG25:BB25" si="23">AG24</f>
        <v>1533799</v>
      </c>
      <c r="AH25" s="50">
        <f t="shared" si="23"/>
        <v>1571932.6</v>
      </c>
      <c r="AI25" s="50">
        <f t="shared" si="23"/>
        <v>1594471.2000000002</v>
      </c>
      <c r="AJ25" s="50">
        <f t="shared" si="23"/>
        <v>1617009.8000000003</v>
      </c>
      <c r="AK25" s="50">
        <f t="shared" si="23"/>
        <v>1639548.4000000004</v>
      </c>
      <c r="AL25" s="50">
        <f t="shared" si="23"/>
        <v>1662087.0000000005</v>
      </c>
      <c r="AM25" s="50">
        <f t="shared" si="23"/>
        <v>1684625.6000000006</v>
      </c>
      <c r="AN25" s="50">
        <f t="shared" si="23"/>
        <v>1707164.2000000007</v>
      </c>
      <c r="AO25" s="50">
        <f t="shared" si="23"/>
        <v>1729702.8000000007</v>
      </c>
      <c r="AP25" s="50">
        <f t="shared" si="23"/>
        <v>1752241.4000000008</v>
      </c>
      <c r="AQ25" s="50">
        <f t="shared" si="23"/>
        <v>1774780</v>
      </c>
      <c r="AR25" s="50">
        <f t="shared" si="23"/>
        <v>1795335.1</v>
      </c>
      <c r="AS25" s="50">
        <f t="shared" si="23"/>
        <v>1815890.2000000002</v>
      </c>
      <c r="AT25" s="50">
        <f t="shared" si="23"/>
        <v>1836445.3000000003</v>
      </c>
      <c r="AU25" s="50">
        <f t="shared" si="23"/>
        <v>1857000.4000000004</v>
      </c>
      <c r="AV25" s="50">
        <f t="shared" si="23"/>
        <v>1874411.9000000004</v>
      </c>
      <c r="AW25" s="50">
        <f t="shared" si="23"/>
        <v>1891823.4000000006</v>
      </c>
      <c r="AX25" s="50">
        <f t="shared" si="23"/>
        <v>1909234.9000000008</v>
      </c>
      <c r="AY25" s="50">
        <f t="shared" si="23"/>
        <v>1950093</v>
      </c>
      <c r="AZ25" s="50">
        <f t="shared" si="23"/>
        <v>1959890</v>
      </c>
      <c r="BA25" s="50">
        <f t="shared" si="23"/>
        <v>1965206</v>
      </c>
      <c r="BB25" s="50">
        <f t="shared" si="23"/>
        <v>1971438</v>
      </c>
      <c r="BC25" s="50">
        <f>BC24</f>
        <v>1977760</v>
      </c>
      <c r="BD25" s="50">
        <f>BD24</f>
        <v>1983504</v>
      </c>
    </row>
    <row r="26" spans="1:59" s="50" customFormat="1" x14ac:dyDescent="0.25">
      <c r="A26" s="50">
        <v>11</v>
      </c>
      <c r="B26" s="50" t="s">
        <v>182</v>
      </c>
      <c r="C26" s="50">
        <f>C25*M22/M23</f>
        <v>142481.63233446633</v>
      </c>
      <c r="D26" s="50">
        <f>C26+($M22-$C26)/10</f>
        <v>152606.26910101969</v>
      </c>
      <c r="E26" s="50">
        <f>D26+($M22-$C26)/10</f>
        <v>162730.90586757305</v>
      </c>
      <c r="F26" s="50">
        <f t="shared" ref="F26:L26" si="24">E26+($M22-$C26)/10</f>
        <v>172855.54263412641</v>
      </c>
      <c r="G26" s="50">
        <f t="shared" si="24"/>
        <v>182980.17940067977</v>
      </c>
      <c r="H26" s="50">
        <f t="shared" si="24"/>
        <v>193104.81616723313</v>
      </c>
      <c r="I26" s="50">
        <f t="shared" si="24"/>
        <v>203229.4529337865</v>
      </c>
      <c r="J26" s="50">
        <f t="shared" si="24"/>
        <v>213354.08970033986</v>
      </c>
      <c r="K26" s="50">
        <f t="shared" si="24"/>
        <v>223478.72646689322</v>
      </c>
      <c r="L26" s="50">
        <f t="shared" si="24"/>
        <v>233603.36323344658</v>
      </c>
      <c r="N26" s="50">
        <f>M22+($W22-$M22)/10</f>
        <v>248783.8</v>
      </c>
      <c r="O26" s="50">
        <f>N26+($W22-$M22)/10</f>
        <v>253839.59999999998</v>
      </c>
      <c r="P26" s="50">
        <f t="shared" ref="P26:V26" si="25">O26+($W22-$M22)/10</f>
        <v>258895.39999999997</v>
      </c>
      <c r="Q26" s="50">
        <f t="shared" si="25"/>
        <v>263951.19999999995</v>
      </c>
      <c r="R26" s="50">
        <f t="shared" si="25"/>
        <v>269006.99999999994</v>
      </c>
      <c r="S26" s="50">
        <f t="shared" si="25"/>
        <v>274062.79999999993</v>
      </c>
      <c r="T26" s="50">
        <f t="shared" si="25"/>
        <v>279118.59999999992</v>
      </c>
      <c r="U26" s="50">
        <f t="shared" si="25"/>
        <v>284174.39999999991</v>
      </c>
      <c r="V26" s="50">
        <f t="shared" si="25"/>
        <v>289230.1999999999</v>
      </c>
      <c r="X26" s="50">
        <f>W22+($AG22-$W22)/10</f>
        <v>299109.7</v>
      </c>
      <c r="Y26" s="50">
        <f>X26+($AG22-$W22)/10</f>
        <v>303933.40000000002</v>
      </c>
      <c r="Z26" s="50">
        <f t="shared" ref="Z26:AF26" si="26">Y26+($AG22-$W22)/10</f>
        <v>308757.10000000003</v>
      </c>
      <c r="AA26" s="50">
        <f t="shared" si="26"/>
        <v>313580.80000000005</v>
      </c>
      <c r="AB26" s="50">
        <f t="shared" si="26"/>
        <v>318404.50000000006</v>
      </c>
      <c r="AC26" s="50">
        <f t="shared" si="26"/>
        <v>323228.20000000007</v>
      </c>
      <c r="AD26" s="50">
        <f t="shared" si="26"/>
        <v>328051.90000000008</v>
      </c>
      <c r="AE26" s="50">
        <f t="shared" si="26"/>
        <v>332875.60000000009</v>
      </c>
      <c r="AF26" s="50">
        <f t="shared" si="26"/>
        <v>337699.3000000001</v>
      </c>
      <c r="AG26" s="66">
        <f>AG22</f>
        <v>342523</v>
      </c>
      <c r="AH26" s="50">
        <f t="shared" ref="AH26:AU26" si="27">AG26+(($AU22-$AG22)/14)</f>
        <v>345321</v>
      </c>
      <c r="AI26" s="50">
        <f t="shared" si="27"/>
        <v>348119</v>
      </c>
      <c r="AJ26" s="50">
        <f t="shared" si="27"/>
        <v>350917</v>
      </c>
      <c r="AK26" s="50">
        <f t="shared" si="27"/>
        <v>353715</v>
      </c>
      <c r="AL26" s="50">
        <f t="shared" si="27"/>
        <v>356513</v>
      </c>
      <c r="AM26" s="50">
        <f t="shared" si="27"/>
        <v>359311</v>
      </c>
      <c r="AN26" s="50">
        <f t="shared" si="27"/>
        <v>362109</v>
      </c>
      <c r="AO26" s="50">
        <f t="shared" si="27"/>
        <v>364907</v>
      </c>
      <c r="AP26" s="50">
        <f t="shared" si="27"/>
        <v>367705</v>
      </c>
      <c r="AQ26" s="50">
        <f t="shared" si="27"/>
        <v>370503</v>
      </c>
      <c r="AR26" s="50">
        <f t="shared" si="27"/>
        <v>373301</v>
      </c>
      <c r="AS26" s="50">
        <f t="shared" si="27"/>
        <v>376099</v>
      </c>
      <c r="AT26" s="50">
        <f t="shared" si="27"/>
        <v>378897</v>
      </c>
      <c r="AU26" s="50">
        <f t="shared" si="27"/>
        <v>381695</v>
      </c>
      <c r="AV26" s="50">
        <f>AU26+(($AZ22-$AU22)/5)</f>
        <v>387636.6</v>
      </c>
      <c r="AW26" s="50">
        <f>AV26+(($AZ22-$AU22)/5)</f>
        <v>393578.19999999995</v>
      </c>
      <c r="AX26" s="50">
        <f>AW26+(($AZ22-$AU22)/5)</f>
        <v>399519.79999999993</v>
      </c>
      <c r="AY26" s="50">
        <f>AX26+(($AZ22-$AU22)/5)</f>
        <v>405461.39999999991</v>
      </c>
      <c r="AZ26" s="66">
        <v>411403</v>
      </c>
      <c r="BA26" s="50">
        <f>AZ26+BA28</f>
        <v>413403</v>
      </c>
      <c r="BB26" s="50">
        <v>415403</v>
      </c>
      <c r="BC26" s="50">
        <v>417811</v>
      </c>
      <c r="BD26" s="68">
        <f>BC27+BD28</f>
        <v>420508</v>
      </c>
    </row>
    <row r="27" spans="1:59" s="50" customFormat="1" x14ac:dyDescent="0.25">
      <c r="A27" s="50">
        <v>12</v>
      </c>
      <c r="B27" s="50" t="s">
        <v>183</v>
      </c>
      <c r="C27" s="50">
        <v>142481.63233446633</v>
      </c>
      <c r="D27" s="50">
        <v>152606.26910101969</v>
      </c>
      <c r="E27" s="50">
        <v>162730.90586757305</v>
      </c>
      <c r="F27" s="50">
        <v>172855.54263412641</v>
      </c>
      <c r="G27" s="50">
        <v>182980.17940067977</v>
      </c>
      <c r="H27" s="50">
        <v>193104.81616723313</v>
      </c>
      <c r="I27" s="50">
        <v>203229.4529337865</v>
      </c>
      <c r="J27" s="50">
        <v>213354.08970033986</v>
      </c>
      <c r="K27" s="50">
        <v>223478.72646689322</v>
      </c>
      <c r="L27" s="50">
        <v>233603.36323344658</v>
      </c>
      <c r="M27" s="50">
        <v>243728</v>
      </c>
      <c r="N27" s="50">
        <v>248783.8</v>
      </c>
      <c r="O27" s="50">
        <v>253839.59999999998</v>
      </c>
      <c r="P27" s="50">
        <v>258895.39999999997</v>
      </c>
      <c r="Q27" s="50">
        <v>263951.19999999995</v>
      </c>
      <c r="R27" s="50">
        <v>269006.99999999994</v>
      </c>
      <c r="S27" s="50">
        <v>274062.79999999993</v>
      </c>
      <c r="T27" s="50">
        <v>279118.59999999992</v>
      </c>
      <c r="U27" s="50">
        <v>284174.39999999991</v>
      </c>
      <c r="V27" s="50">
        <v>289230.2</v>
      </c>
      <c r="W27" s="50">
        <v>294286</v>
      </c>
      <c r="X27" s="50">
        <v>299109.7</v>
      </c>
      <c r="Y27" s="50">
        <v>303933.40000000002</v>
      </c>
      <c r="Z27" s="50">
        <v>308757.10000000003</v>
      </c>
      <c r="AA27" s="50">
        <v>313580.80000000005</v>
      </c>
      <c r="AB27" s="50">
        <v>318404.50000000006</v>
      </c>
      <c r="AC27" s="50">
        <v>323228.20000000007</v>
      </c>
      <c r="AD27" s="50">
        <v>328051.90000000008</v>
      </c>
      <c r="AE27" s="50">
        <v>332875.60000000009</v>
      </c>
      <c r="AF27" s="50">
        <v>337699.3000000001</v>
      </c>
      <c r="AG27" s="50">
        <v>342523</v>
      </c>
      <c r="AH27" s="50">
        <f t="shared" ref="AH27:BB27" si="28">AH26</f>
        <v>345321</v>
      </c>
      <c r="AI27" s="50">
        <f t="shared" si="28"/>
        <v>348119</v>
      </c>
      <c r="AJ27" s="50">
        <f t="shared" si="28"/>
        <v>350917</v>
      </c>
      <c r="AK27" s="50">
        <f t="shared" si="28"/>
        <v>353715</v>
      </c>
      <c r="AL27" s="50">
        <f t="shared" si="28"/>
        <v>356513</v>
      </c>
      <c r="AM27" s="50">
        <f t="shared" si="28"/>
        <v>359311</v>
      </c>
      <c r="AN27" s="50">
        <f t="shared" si="28"/>
        <v>362109</v>
      </c>
      <c r="AO27" s="50">
        <f t="shared" si="28"/>
        <v>364907</v>
      </c>
      <c r="AP27" s="50">
        <f t="shared" si="28"/>
        <v>367705</v>
      </c>
      <c r="AQ27" s="50">
        <f t="shared" si="28"/>
        <v>370503</v>
      </c>
      <c r="AR27" s="50">
        <f t="shared" si="28"/>
        <v>373301</v>
      </c>
      <c r="AS27" s="50">
        <f t="shared" si="28"/>
        <v>376099</v>
      </c>
      <c r="AT27" s="50">
        <f t="shared" si="28"/>
        <v>378897</v>
      </c>
      <c r="AU27" s="50">
        <f t="shared" si="28"/>
        <v>381695</v>
      </c>
      <c r="AV27" s="50">
        <f t="shared" si="28"/>
        <v>387636.6</v>
      </c>
      <c r="AW27" s="50">
        <f t="shared" si="28"/>
        <v>393578.19999999995</v>
      </c>
      <c r="AX27" s="50">
        <f t="shared" si="28"/>
        <v>399519.79999999993</v>
      </c>
      <c r="AY27" s="50">
        <f t="shared" si="28"/>
        <v>405461.39999999991</v>
      </c>
      <c r="AZ27" s="50">
        <f t="shared" si="28"/>
        <v>411403</v>
      </c>
      <c r="BA27" s="50">
        <f t="shared" si="28"/>
        <v>413403</v>
      </c>
      <c r="BB27" s="50">
        <f t="shared" si="28"/>
        <v>415403</v>
      </c>
      <c r="BC27" s="50">
        <f>BC26</f>
        <v>417811</v>
      </c>
      <c r="BD27" s="50">
        <f>BD26</f>
        <v>420508</v>
      </c>
    </row>
    <row r="28" spans="1:59" s="50" customFormat="1" x14ac:dyDescent="0.25">
      <c r="A28" s="50">
        <v>13</v>
      </c>
      <c r="B28" s="50" t="s">
        <v>184</v>
      </c>
      <c r="C28" s="50">
        <f>D28</f>
        <v>10124.636766553362</v>
      </c>
      <c r="D28" s="50">
        <f>D27-C27</f>
        <v>10124.636766553362</v>
      </c>
      <c r="E28" s="50">
        <f>E27-D27</f>
        <v>10124.636766553362</v>
      </c>
      <c r="F28" s="50">
        <f t="shared" ref="F28:AG28" si="29">F27-E27</f>
        <v>10124.636766553362</v>
      </c>
      <c r="G28" s="50">
        <f t="shared" si="29"/>
        <v>10124.636766553362</v>
      </c>
      <c r="H28" s="50">
        <f t="shared" si="29"/>
        <v>10124.636766553362</v>
      </c>
      <c r="I28" s="50">
        <f t="shared" si="29"/>
        <v>10124.636766553362</v>
      </c>
      <c r="J28" s="50">
        <f t="shared" si="29"/>
        <v>10124.636766553362</v>
      </c>
      <c r="K28" s="50">
        <f t="shared" si="29"/>
        <v>10124.636766553362</v>
      </c>
      <c r="L28" s="50">
        <f t="shared" si="29"/>
        <v>10124.636766553362</v>
      </c>
      <c r="M28" s="50">
        <f t="shared" si="29"/>
        <v>10124.63676655342</v>
      </c>
      <c r="N28" s="50">
        <f t="shared" si="29"/>
        <v>5055.7999999999884</v>
      </c>
      <c r="O28" s="50">
        <f t="shared" si="29"/>
        <v>5055.7999999999884</v>
      </c>
      <c r="P28" s="50">
        <f t="shared" si="29"/>
        <v>5055.7999999999884</v>
      </c>
      <c r="Q28" s="50">
        <f t="shared" si="29"/>
        <v>5055.7999999999884</v>
      </c>
      <c r="R28" s="50">
        <f t="shared" si="29"/>
        <v>5055.7999999999884</v>
      </c>
      <c r="S28" s="50">
        <f t="shared" si="29"/>
        <v>5055.7999999999884</v>
      </c>
      <c r="T28" s="50">
        <f t="shared" si="29"/>
        <v>5055.7999999999884</v>
      </c>
      <c r="U28" s="50">
        <f t="shared" si="29"/>
        <v>5055.7999999999884</v>
      </c>
      <c r="V28" s="50">
        <f t="shared" si="29"/>
        <v>5055.8000000001048</v>
      </c>
      <c r="W28" s="50">
        <f t="shared" si="29"/>
        <v>5055.7999999999884</v>
      </c>
      <c r="X28" s="50">
        <f t="shared" si="29"/>
        <v>4823.7000000000116</v>
      </c>
      <c r="Y28" s="50">
        <f t="shared" si="29"/>
        <v>4823.7000000000116</v>
      </c>
      <c r="Z28" s="50">
        <f t="shared" si="29"/>
        <v>4823.7000000000116</v>
      </c>
      <c r="AA28" s="50">
        <f t="shared" si="29"/>
        <v>4823.7000000000116</v>
      </c>
      <c r="AB28" s="50">
        <f t="shared" si="29"/>
        <v>4823.7000000000116</v>
      </c>
      <c r="AC28" s="50">
        <f t="shared" si="29"/>
        <v>4823.7000000000116</v>
      </c>
      <c r="AD28" s="50">
        <f t="shared" si="29"/>
        <v>4823.7000000000116</v>
      </c>
      <c r="AE28" s="50">
        <f t="shared" si="29"/>
        <v>4823.7000000000116</v>
      </c>
      <c r="AF28" s="50">
        <f t="shared" si="29"/>
        <v>4823.7000000000116</v>
      </c>
      <c r="AG28" s="66">
        <f t="shared" si="29"/>
        <v>4823.6999999998952</v>
      </c>
      <c r="AH28" s="50">
        <v>2798</v>
      </c>
      <c r="AI28" s="50">
        <v>2798</v>
      </c>
      <c r="AJ28" s="50">
        <v>2798</v>
      </c>
      <c r="AK28" s="50">
        <v>2798</v>
      </c>
      <c r="AL28" s="50">
        <v>2798</v>
      </c>
      <c r="AM28" s="50">
        <v>2798</v>
      </c>
      <c r="AN28" s="50">
        <v>2798</v>
      </c>
      <c r="AO28" s="50">
        <v>2798</v>
      </c>
      <c r="AP28" s="50">
        <v>2798</v>
      </c>
      <c r="AQ28" s="50">
        <v>2798</v>
      </c>
      <c r="AR28" s="50">
        <v>2798</v>
      </c>
      <c r="AS28" s="50">
        <v>2798</v>
      </c>
      <c r="AT28" s="50">
        <v>2798</v>
      </c>
      <c r="AU28" s="50">
        <v>2798</v>
      </c>
      <c r="AV28" s="50">
        <v>6927</v>
      </c>
      <c r="AW28" s="50">
        <v>6927</v>
      </c>
      <c r="AX28" s="50">
        <v>6927</v>
      </c>
      <c r="AY28" s="50">
        <v>6927</v>
      </c>
      <c r="AZ28" s="50">
        <v>2000</v>
      </c>
      <c r="BA28" s="50">
        <v>2000</v>
      </c>
      <c r="BB28" s="50">
        <v>2000</v>
      </c>
      <c r="BC28" s="50">
        <v>2055</v>
      </c>
      <c r="BD28" s="68">
        <v>2697</v>
      </c>
    </row>
    <row r="29" spans="1:59" s="18" customFormat="1" x14ac:dyDescent="0.25">
      <c r="A29" s="18">
        <v>14</v>
      </c>
      <c r="B29" s="18" t="s">
        <v>166</v>
      </c>
      <c r="C29" s="18">
        <f>C25*91250/1000*4+C28*4000+C27*0.2*200</f>
        <v>309604325.92388576</v>
      </c>
      <c r="D29" s="18">
        <f t="shared" ref="D29:BB29" si="30">D25*91250/1000*4+D28*4000+D27*0.2*200</f>
        <v>318470315.03811848</v>
      </c>
      <c r="E29" s="18">
        <f t="shared" si="30"/>
        <v>327336304.15235126</v>
      </c>
      <c r="F29" s="18">
        <f t="shared" si="30"/>
        <v>336202293.26658398</v>
      </c>
      <c r="G29" s="18">
        <f t="shared" si="30"/>
        <v>345068282.3808167</v>
      </c>
      <c r="H29" s="18">
        <f t="shared" si="30"/>
        <v>353934271.49504948</v>
      </c>
      <c r="I29" s="18">
        <f t="shared" si="30"/>
        <v>362800260.60928226</v>
      </c>
      <c r="J29" s="18">
        <f t="shared" si="30"/>
        <v>371666249.72351497</v>
      </c>
      <c r="K29" s="18">
        <f t="shared" si="30"/>
        <v>380532238.83774769</v>
      </c>
      <c r="L29" s="18">
        <f t="shared" si="30"/>
        <v>389398227.95198053</v>
      </c>
      <c r="M29" s="18">
        <f t="shared" si="30"/>
        <v>398264217.06621367</v>
      </c>
      <c r="N29" s="18">
        <f t="shared" si="30"/>
        <v>388386099.49999994</v>
      </c>
      <c r="O29" s="18">
        <f t="shared" si="30"/>
        <v>398783328.99999994</v>
      </c>
      <c r="P29" s="18">
        <f t="shared" si="30"/>
        <v>409180558.49999994</v>
      </c>
      <c r="Q29" s="18">
        <f t="shared" si="30"/>
        <v>419577787.99999994</v>
      </c>
      <c r="R29" s="18">
        <f t="shared" si="30"/>
        <v>429975017.49999994</v>
      </c>
      <c r="S29" s="18">
        <f t="shared" si="30"/>
        <v>440372246.99999994</v>
      </c>
      <c r="T29" s="18">
        <f t="shared" si="30"/>
        <v>450769476.49999994</v>
      </c>
      <c r="U29" s="18">
        <f t="shared" si="30"/>
        <v>461166705.99999994</v>
      </c>
      <c r="V29" s="18">
        <f t="shared" si="30"/>
        <v>471563935.50000042</v>
      </c>
      <c r="W29" s="18">
        <f t="shared" si="30"/>
        <v>481961164.99999994</v>
      </c>
      <c r="X29" s="18">
        <f t="shared" si="30"/>
        <v>492212724</v>
      </c>
      <c r="Y29" s="18">
        <f t="shared" si="30"/>
        <v>503392683</v>
      </c>
      <c r="Z29" s="18">
        <f t="shared" si="30"/>
        <v>514572641.99999994</v>
      </c>
      <c r="AA29" s="18">
        <f t="shared" si="30"/>
        <v>525752600.99999994</v>
      </c>
      <c r="AB29" s="18">
        <f t="shared" si="30"/>
        <v>536932559.99999988</v>
      </c>
      <c r="AC29" s="18">
        <f t="shared" si="30"/>
        <v>548112518.99999988</v>
      </c>
      <c r="AD29" s="18">
        <f t="shared" si="30"/>
        <v>559292477.99999976</v>
      </c>
      <c r="AE29" s="18">
        <f t="shared" si="30"/>
        <v>570472436.99999976</v>
      </c>
      <c r="AF29" s="18">
        <f t="shared" si="30"/>
        <v>581652395.99999964</v>
      </c>
      <c r="AG29" s="18">
        <f t="shared" si="30"/>
        <v>592832354.99999952</v>
      </c>
      <c r="AH29" s="18">
        <f t="shared" si="30"/>
        <v>598760239</v>
      </c>
      <c r="AI29" s="18">
        <f t="shared" si="30"/>
        <v>607098748.00000012</v>
      </c>
      <c r="AJ29" s="18">
        <f t="shared" si="30"/>
        <v>615437257.00000012</v>
      </c>
      <c r="AK29" s="18">
        <f t="shared" si="30"/>
        <v>623775766.00000012</v>
      </c>
      <c r="AL29" s="18">
        <f t="shared" si="30"/>
        <v>632114275.00000012</v>
      </c>
      <c r="AM29" s="18">
        <f t="shared" si="30"/>
        <v>640452784.00000024</v>
      </c>
      <c r="AN29" s="18">
        <f t="shared" si="30"/>
        <v>648791293.00000024</v>
      </c>
      <c r="AO29" s="18">
        <f t="shared" si="30"/>
        <v>657129802.00000024</v>
      </c>
      <c r="AP29" s="18">
        <f t="shared" si="30"/>
        <v>665468311.00000036</v>
      </c>
      <c r="AQ29" s="18">
        <f t="shared" si="30"/>
        <v>673806820</v>
      </c>
      <c r="AR29" s="18">
        <f t="shared" si="30"/>
        <v>681421351.5</v>
      </c>
      <c r="AS29" s="18">
        <f t="shared" si="30"/>
        <v>689035883.00000012</v>
      </c>
      <c r="AT29" s="18">
        <f t="shared" si="30"/>
        <v>696650414.50000012</v>
      </c>
      <c r="AU29" s="18">
        <f t="shared" si="30"/>
        <v>704264946.00000012</v>
      </c>
      <c r="AV29" s="18">
        <f t="shared" si="30"/>
        <v>727373807.50000012</v>
      </c>
      <c r="AW29" s="18">
        <f t="shared" si="30"/>
        <v>733966669.00000024</v>
      </c>
      <c r="AX29" s="18">
        <f t="shared" si="30"/>
        <v>740559530.50000036</v>
      </c>
      <c r="AY29" s="18">
        <f t="shared" si="30"/>
        <v>755710401</v>
      </c>
      <c r="AZ29" s="18">
        <f t="shared" si="30"/>
        <v>739815970</v>
      </c>
      <c r="BA29" s="18">
        <f t="shared" si="30"/>
        <v>741836310</v>
      </c>
      <c r="BB29" s="18">
        <f t="shared" si="30"/>
        <v>744190990</v>
      </c>
      <c r="BC29" s="18">
        <f>BC25*91250/1000*4+BC28*4000+BC27*0.2*200</f>
        <v>746814840</v>
      </c>
      <c r="BD29" s="18">
        <f>BD25*91250/1000*4+BD28*4000+BD27*0.2*200</f>
        <v>751587280</v>
      </c>
    </row>
    <row r="30" spans="1:59" s="21" customFormat="1" x14ac:dyDescent="0.25">
      <c r="A30" s="21">
        <v>15</v>
      </c>
      <c r="B30" s="21" t="s">
        <v>185</v>
      </c>
      <c r="AP30" s="21">
        <v>4376622</v>
      </c>
      <c r="AQ30" s="21">
        <v>4439981</v>
      </c>
      <c r="AR30" s="21">
        <v>4527796</v>
      </c>
      <c r="AS30" s="21">
        <v>4663141</v>
      </c>
      <c r="AT30" s="21">
        <v>4772651</v>
      </c>
      <c r="AU30" s="21">
        <v>4975157</v>
      </c>
      <c r="AV30" s="21">
        <v>4992309</v>
      </c>
      <c r="AW30" s="21">
        <v>4463256</v>
      </c>
    </row>
    <row r="31" spans="1:59" s="21" customFormat="1" x14ac:dyDescent="0.25">
      <c r="A31" s="21">
        <v>16</v>
      </c>
      <c r="B31" s="21" t="s">
        <v>186</v>
      </c>
      <c r="C31" s="21">
        <v>82.5</v>
      </c>
      <c r="M31" s="21">
        <v>112.7</v>
      </c>
      <c r="W31" s="21">
        <v>134.4</v>
      </c>
      <c r="AG31" s="21">
        <v>142.30000000000001</v>
      </c>
      <c r="AQ31" s="21">
        <v>163</v>
      </c>
      <c r="AU31" s="21">
        <v>140.30000000000001</v>
      </c>
      <c r="AV31" s="21">
        <v>139.4</v>
      </c>
      <c r="AW31" s="21">
        <v>140.1</v>
      </c>
      <c r="AX31" s="21">
        <v>138.6</v>
      </c>
      <c r="AY31" s="21">
        <v>136</v>
      </c>
      <c r="AZ31" s="21">
        <v>132.4</v>
      </c>
      <c r="BA31" s="21">
        <v>135.5</v>
      </c>
      <c r="BB31" s="21">
        <v>135.5</v>
      </c>
      <c r="BC31" s="21">
        <v>134.19999999999999</v>
      </c>
    </row>
    <row r="32" spans="1:59" s="21" customFormat="1" x14ac:dyDescent="0.25">
      <c r="A32" s="21">
        <v>17</v>
      </c>
      <c r="B32" s="21" t="s">
        <v>187</v>
      </c>
      <c r="C32" s="21">
        <v>180671</v>
      </c>
      <c r="D32" s="21">
        <v>183691</v>
      </c>
      <c r="E32" s="21">
        <v>186538</v>
      </c>
      <c r="F32" s="21">
        <v>189242</v>
      </c>
      <c r="G32" s="21">
        <v>191889</v>
      </c>
      <c r="H32" s="21">
        <v>194303</v>
      </c>
      <c r="I32" s="21">
        <v>196560</v>
      </c>
      <c r="J32" s="21">
        <v>198712</v>
      </c>
      <c r="K32" s="21">
        <v>200706</v>
      </c>
      <c r="L32" s="21">
        <v>202677</v>
      </c>
      <c r="M32" s="21">
        <v>205052</v>
      </c>
      <c r="N32" s="21">
        <v>207661</v>
      </c>
      <c r="O32" s="21">
        <v>209896</v>
      </c>
      <c r="P32" s="21">
        <v>211909</v>
      </c>
      <c r="Q32" s="21">
        <v>213854</v>
      </c>
      <c r="R32" s="21">
        <v>215973</v>
      </c>
      <c r="S32" s="21">
        <v>218035</v>
      </c>
      <c r="T32" s="21">
        <v>220239</v>
      </c>
      <c r="U32" s="21">
        <v>222585</v>
      </c>
      <c r="V32" s="21">
        <v>225055</v>
      </c>
      <c r="W32" s="21">
        <v>227225</v>
      </c>
      <c r="X32" s="21">
        <v>229466</v>
      </c>
      <c r="Y32" s="21">
        <v>231664</v>
      </c>
      <c r="Z32" s="21">
        <v>233792</v>
      </c>
      <c r="AA32" s="21">
        <v>235825</v>
      </c>
      <c r="AB32" s="21">
        <v>237924</v>
      </c>
      <c r="AC32" s="21">
        <v>240133</v>
      </c>
      <c r="AD32" s="21">
        <v>242289</v>
      </c>
      <c r="AE32" s="21">
        <v>244499</v>
      </c>
      <c r="AF32" s="21">
        <v>246819</v>
      </c>
      <c r="AG32" s="21">
        <v>249623</v>
      </c>
      <c r="AH32" s="21">
        <v>252981</v>
      </c>
      <c r="AI32" s="21">
        <v>256514</v>
      </c>
      <c r="AJ32" s="21">
        <v>259919</v>
      </c>
      <c r="AK32" s="21">
        <v>263126</v>
      </c>
      <c r="AL32" s="21">
        <v>266278</v>
      </c>
      <c r="AM32" s="21">
        <v>269394</v>
      </c>
      <c r="AN32" s="21">
        <v>272647</v>
      </c>
      <c r="AO32" s="21">
        <v>275854</v>
      </c>
      <c r="AP32" s="21">
        <v>279040</v>
      </c>
      <c r="AQ32" s="21">
        <v>282172</v>
      </c>
      <c r="AR32" s="21">
        <v>285040</v>
      </c>
      <c r="AS32" s="21">
        <v>287727</v>
      </c>
      <c r="AT32" s="21">
        <v>290211</v>
      </c>
      <c r="AU32" s="21">
        <v>292892</v>
      </c>
      <c r="AV32" s="21">
        <v>295561</v>
      </c>
      <c r="AW32" s="21">
        <v>298362</v>
      </c>
      <c r="AX32" s="21">
        <v>301290</v>
      </c>
      <c r="AY32" s="21">
        <v>304059</v>
      </c>
      <c r="AZ32" s="21">
        <v>307006</v>
      </c>
      <c r="BA32" s="21">
        <v>308745</v>
      </c>
      <c r="BB32" s="21">
        <v>311592</v>
      </c>
      <c r="BC32" s="21">
        <v>313914</v>
      </c>
    </row>
    <row r="33" spans="1:56" s="21" customFormat="1" x14ac:dyDescent="0.25">
      <c r="A33" s="21">
        <v>18</v>
      </c>
      <c r="B33" s="21" t="s">
        <v>188</v>
      </c>
      <c r="C33" s="21">
        <v>3113</v>
      </c>
      <c r="D33" s="21">
        <v>3176</v>
      </c>
      <c r="E33" s="21">
        <v>3263</v>
      </c>
      <c r="F33" s="21">
        <v>3386</v>
      </c>
      <c r="G33" s="21">
        <v>3492</v>
      </c>
      <c r="H33" s="21">
        <v>3600</v>
      </c>
      <c r="I33" s="21">
        <v>3695</v>
      </c>
      <c r="J33" s="21">
        <v>3757</v>
      </c>
      <c r="K33" s="21">
        <v>3815</v>
      </c>
      <c r="L33" s="21">
        <v>3868</v>
      </c>
      <c r="M33" s="21">
        <v>3924</v>
      </c>
      <c r="N33" s="21">
        <v>4018</v>
      </c>
      <c r="O33" s="21">
        <v>4073</v>
      </c>
      <c r="P33" s="21">
        <v>4098</v>
      </c>
      <c r="Q33" s="21">
        <v>4119</v>
      </c>
      <c r="R33" s="21">
        <v>4139</v>
      </c>
      <c r="S33" s="21">
        <v>4151</v>
      </c>
      <c r="T33" s="21">
        <v>4170</v>
      </c>
      <c r="U33" s="21">
        <v>4184</v>
      </c>
      <c r="V33" s="21">
        <v>4191</v>
      </c>
      <c r="W33" s="21">
        <v>4217</v>
      </c>
      <c r="X33" s="21">
        <v>4262</v>
      </c>
      <c r="Y33" s="21">
        <v>4283</v>
      </c>
      <c r="Z33" s="21">
        <v>4313</v>
      </c>
      <c r="AA33" s="21">
        <v>4365</v>
      </c>
      <c r="AB33" s="21">
        <v>4413</v>
      </c>
      <c r="AC33" s="21">
        <v>4487</v>
      </c>
      <c r="AD33" s="21">
        <v>4566</v>
      </c>
      <c r="AE33" s="21">
        <v>4658</v>
      </c>
      <c r="AF33" s="21">
        <v>4727</v>
      </c>
      <c r="AG33" s="21">
        <v>4781</v>
      </c>
      <c r="AH33" s="21">
        <v>4781</v>
      </c>
      <c r="AI33" s="21">
        <v>4800</v>
      </c>
      <c r="AJ33" s="21">
        <v>4868</v>
      </c>
      <c r="AK33" s="21">
        <v>4923</v>
      </c>
      <c r="AL33" s="21">
        <v>4972</v>
      </c>
      <c r="AM33" s="21">
        <v>5023</v>
      </c>
      <c r="AN33" s="21">
        <v>5070</v>
      </c>
      <c r="AO33" s="21">
        <v>5112</v>
      </c>
      <c r="AP33" s="21">
        <v>5157</v>
      </c>
      <c r="AQ33" s="21">
        <v>5204</v>
      </c>
      <c r="AR33" s="21">
        <v>5255</v>
      </c>
      <c r="AS33" s="21">
        <v>5439</v>
      </c>
      <c r="AT33" s="21">
        <v>5495</v>
      </c>
      <c r="AU33" s="21">
        <v>5539</v>
      </c>
      <c r="AV33" s="21">
        <v>5576</v>
      </c>
      <c r="AW33" s="21">
        <v>5602</v>
      </c>
      <c r="AX33" s="21">
        <v>5619</v>
      </c>
      <c r="AY33" s="21">
        <v>5634</v>
      </c>
      <c r="AZ33" s="21">
        <v>5699</v>
      </c>
      <c r="BA33" s="21">
        <v>5773</v>
      </c>
      <c r="BB33" s="21">
        <v>5828</v>
      </c>
      <c r="BC33" s="21">
        <v>5885</v>
      </c>
    </row>
    <row r="34" spans="1:56" s="21" customFormat="1" x14ac:dyDescent="0.25">
      <c r="A34" s="21">
        <v>19</v>
      </c>
      <c r="B34" s="21" t="s">
        <v>189</v>
      </c>
      <c r="C34" s="21">
        <f>(C31/C32)*1000</f>
        <v>0.45663111401387052</v>
      </c>
      <c r="M34" s="21">
        <f>(M31/M32)*1000</f>
        <v>0.54961668259758512</v>
      </c>
      <c r="W34" s="21">
        <f>(W31/W32)*1000</f>
        <v>0.59148421168445375</v>
      </c>
      <c r="AG34" s="21">
        <f>(AG31/AG32)*1000</f>
        <v>0.57005964995212788</v>
      </c>
      <c r="AQ34" s="21">
        <f>(AQ31/AQ32)*1000</f>
        <v>0.57766185163659045</v>
      </c>
      <c r="AU34" s="21">
        <f t="shared" ref="AU34:BB34" si="31">(AU31/AU32)*1000</f>
        <v>0.4790161561258075</v>
      </c>
      <c r="AV34" s="21">
        <f t="shared" si="31"/>
        <v>0.47164544713274081</v>
      </c>
      <c r="AW34" s="21">
        <f t="shared" si="31"/>
        <v>0.46956381844873007</v>
      </c>
      <c r="AX34" s="21">
        <f t="shared" si="31"/>
        <v>0.46002190580503832</v>
      </c>
      <c r="AY34" s="21">
        <f t="shared" si="31"/>
        <v>0.44728161310798237</v>
      </c>
      <c r="AZ34" s="21">
        <f t="shared" si="31"/>
        <v>0.4312619297342723</v>
      </c>
      <c r="BA34" s="21">
        <f t="shared" si="31"/>
        <v>0.43887350402435665</v>
      </c>
      <c r="BB34" s="21">
        <f t="shared" si="31"/>
        <v>0.43486353950037226</v>
      </c>
      <c r="BC34" s="21">
        <f>(BC31/BC32)*1000</f>
        <v>0.42750562255904478</v>
      </c>
    </row>
    <row r="35" spans="1:56" s="21" customFormat="1" x14ac:dyDescent="0.25">
      <c r="A35" s="21">
        <v>20</v>
      </c>
      <c r="B35" s="21" t="s">
        <v>190</v>
      </c>
      <c r="C35" s="21">
        <f>M35*(C34/M34)</f>
        <v>0.67086281451830587</v>
      </c>
      <c r="D35" s="21">
        <f>C35+($M35-$C35)/10</f>
        <v>0.68452385476177924</v>
      </c>
      <c r="E35" s="21">
        <f t="shared" ref="E35:L35" si="32">D35+($M35-$C35)/10</f>
        <v>0.6981848950052526</v>
      </c>
      <c r="F35" s="21">
        <f t="shared" si="32"/>
        <v>0.71184593524872597</v>
      </c>
      <c r="G35" s="21">
        <f t="shared" si="32"/>
        <v>0.72550697549219934</v>
      </c>
      <c r="H35" s="21">
        <f t="shared" si="32"/>
        <v>0.7391680157356727</v>
      </c>
      <c r="I35" s="21">
        <f t="shared" si="32"/>
        <v>0.75282905597914607</v>
      </c>
      <c r="J35" s="21">
        <f t="shared" si="32"/>
        <v>0.76649009622261943</v>
      </c>
      <c r="K35" s="21">
        <f t="shared" si="32"/>
        <v>0.7801511364660928</v>
      </c>
      <c r="L35" s="21">
        <f t="shared" si="32"/>
        <v>0.79381217670956616</v>
      </c>
      <c r="M35" s="21">
        <f>W35*(M34/W34)</f>
        <v>0.80747321695303986</v>
      </c>
      <c r="N35" s="21">
        <f>M35+($W35-$M35)/10</f>
        <v>0.81362421445149125</v>
      </c>
      <c r="O35" s="21">
        <f t="shared" ref="O35:V35" si="33">N35+($W35-$M35)/10</f>
        <v>0.81977521194994263</v>
      </c>
      <c r="P35" s="21">
        <f t="shared" si="33"/>
        <v>0.82592620944839401</v>
      </c>
      <c r="Q35" s="21">
        <f t="shared" si="33"/>
        <v>0.83207720694684539</v>
      </c>
      <c r="R35" s="21">
        <f t="shared" si="33"/>
        <v>0.83822820444529678</v>
      </c>
      <c r="S35" s="21">
        <f t="shared" si="33"/>
        <v>0.84437920194374816</v>
      </c>
      <c r="T35" s="21">
        <f t="shared" si="33"/>
        <v>0.85053019944219954</v>
      </c>
      <c r="U35" s="21">
        <f t="shared" si="33"/>
        <v>0.85668119694065092</v>
      </c>
      <c r="V35" s="21">
        <f t="shared" si="33"/>
        <v>0.86283219443910231</v>
      </c>
      <c r="W35" s="21">
        <f>AG35*(W34/AG34)</f>
        <v>0.86898319193755347</v>
      </c>
      <c r="X35" s="21">
        <f>W35+($AG35-$W35)/10</f>
        <v>0.86583558737394228</v>
      </c>
      <c r="Y35" s="21">
        <f t="shared" ref="Y35:AF35" si="34">X35+($AG35-$W35)/10</f>
        <v>0.8626879828103311</v>
      </c>
      <c r="Z35" s="21">
        <f t="shared" si="34"/>
        <v>0.85954037824671992</v>
      </c>
      <c r="AA35" s="21">
        <f t="shared" si="34"/>
        <v>0.85639277368310873</v>
      </c>
      <c r="AB35" s="21">
        <f t="shared" si="34"/>
        <v>0.85324516911949755</v>
      </c>
      <c r="AC35" s="21">
        <f t="shared" si="34"/>
        <v>0.85009756455588636</v>
      </c>
      <c r="AD35" s="21">
        <f t="shared" si="34"/>
        <v>0.84694995999227518</v>
      </c>
      <c r="AE35" s="21">
        <f t="shared" si="34"/>
        <v>0.843802355428664</v>
      </c>
      <c r="AF35" s="21">
        <f t="shared" si="34"/>
        <v>0.84065475086505281</v>
      </c>
      <c r="AG35" s="21">
        <f>AP35*(AG34/AQ34)</f>
        <v>0.8375071463014413</v>
      </c>
      <c r="AH35" s="21">
        <f>AG35+($AP35-$AG35)/9</f>
        <v>0.83874812720169478</v>
      </c>
      <c r="AI35" s="21">
        <f t="shared" ref="AI35:AO35" si="35">AH35+($AP35-$AG35)/9</f>
        <v>0.83998910810194827</v>
      </c>
      <c r="AJ35" s="21">
        <f t="shared" si="35"/>
        <v>0.84123008900220175</v>
      </c>
      <c r="AK35" s="21">
        <f t="shared" si="35"/>
        <v>0.84247106990245524</v>
      </c>
      <c r="AL35" s="21">
        <f t="shared" si="35"/>
        <v>0.84371205080270872</v>
      </c>
      <c r="AM35" s="21">
        <f t="shared" si="35"/>
        <v>0.84495303170296221</v>
      </c>
      <c r="AN35" s="21">
        <f t="shared" si="35"/>
        <v>0.8461940126032157</v>
      </c>
      <c r="AO35" s="21">
        <f t="shared" si="35"/>
        <v>0.84743499350346918</v>
      </c>
      <c r="AP35" s="21">
        <f>AP30/(AP33*1000)</f>
        <v>0.84867597440372311</v>
      </c>
    </row>
    <row r="36" spans="1:56" s="21" customFormat="1" x14ac:dyDescent="0.25">
      <c r="A36" s="21">
        <v>21</v>
      </c>
      <c r="B36" s="21" t="s">
        <v>191</v>
      </c>
      <c r="C36" s="21">
        <f>C35*C33*1000</f>
        <v>2088395.9415954859</v>
      </c>
      <c r="D36" s="21">
        <f t="shared" ref="D36:AO36" si="36">D35*D33*1000</f>
        <v>2174047.762723411</v>
      </c>
      <c r="E36" s="21">
        <f t="shared" si="36"/>
        <v>2278177.3124021394</v>
      </c>
      <c r="F36" s="21">
        <f t="shared" si="36"/>
        <v>2410310.3367521861</v>
      </c>
      <c r="G36" s="21">
        <f t="shared" si="36"/>
        <v>2533470.3584187599</v>
      </c>
      <c r="H36" s="21">
        <f t="shared" si="36"/>
        <v>2661004.8566484214</v>
      </c>
      <c r="I36" s="21">
        <f t="shared" si="36"/>
        <v>2781703.3618429448</v>
      </c>
      <c r="J36" s="21">
        <f t="shared" si="36"/>
        <v>2879703.2915083813</v>
      </c>
      <c r="K36" s="21">
        <f t="shared" si="36"/>
        <v>2976276.5856181439</v>
      </c>
      <c r="L36" s="21">
        <f t="shared" si="36"/>
        <v>3070465.4995126021</v>
      </c>
      <c r="M36" s="21">
        <f t="shared" si="36"/>
        <v>3168524.9033237281</v>
      </c>
      <c r="N36" s="21">
        <f t="shared" si="36"/>
        <v>3269142.093666092</v>
      </c>
      <c r="O36" s="21">
        <f t="shared" si="36"/>
        <v>3338944.4382721162</v>
      </c>
      <c r="P36" s="21">
        <f t="shared" si="36"/>
        <v>3384645.6063195188</v>
      </c>
      <c r="Q36" s="21">
        <f t="shared" si="36"/>
        <v>3427326.0154140564</v>
      </c>
      <c r="R36" s="21">
        <f t="shared" si="36"/>
        <v>3469426.5381990834</v>
      </c>
      <c r="S36" s="21">
        <f t="shared" si="36"/>
        <v>3505018.0672684987</v>
      </c>
      <c r="T36" s="21">
        <f t="shared" si="36"/>
        <v>3546710.9316739719</v>
      </c>
      <c r="U36" s="21">
        <f t="shared" si="36"/>
        <v>3584354.1279996834</v>
      </c>
      <c r="V36" s="21">
        <f t="shared" si="36"/>
        <v>3616129.7268942776</v>
      </c>
      <c r="W36" s="21">
        <f t="shared" si="36"/>
        <v>3664502.120400663</v>
      </c>
      <c r="X36" s="21">
        <f t="shared" si="36"/>
        <v>3690191.2733877422</v>
      </c>
      <c r="Y36" s="21">
        <f t="shared" si="36"/>
        <v>3694892.6303766482</v>
      </c>
      <c r="Z36" s="21">
        <f t="shared" si="36"/>
        <v>3707197.6513781026</v>
      </c>
      <c r="AA36" s="21">
        <f t="shared" si="36"/>
        <v>3738154.4571267697</v>
      </c>
      <c r="AB36" s="21">
        <f t="shared" si="36"/>
        <v>3765370.9313243427</v>
      </c>
      <c r="AC36" s="21">
        <f t="shared" si="36"/>
        <v>3814387.7721622619</v>
      </c>
      <c r="AD36" s="21">
        <f t="shared" si="36"/>
        <v>3867173.5173247284</v>
      </c>
      <c r="AE36" s="21">
        <f t="shared" si="36"/>
        <v>3930431.3715867172</v>
      </c>
      <c r="AF36" s="21">
        <f t="shared" si="36"/>
        <v>3973775.007339105</v>
      </c>
      <c r="AG36" s="21">
        <f t="shared" si="36"/>
        <v>4004121.6664671912</v>
      </c>
      <c r="AH36" s="21">
        <f t="shared" si="36"/>
        <v>4010054.7961513028</v>
      </c>
      <c r="AI36" s="21">
        <f t="shared" si="36"/>
        <v>4031947.7188893515</v>
      </c>
      <c r="AJ36" s="21">
        <f t="shared" si="36"/>
        <v>4095108.0732627185</v>
      </c>
      <c r="AK36" s="21">
        <f t="shared" si="36"/>
        <v>4147485.0771297868</v>
      </c>
      <c r="AL36" s="21">
        <f t="shared" si="36"/>
        <v>4194936.3165910682</v>
      </c>
      <c r="AM36" s="21">
        <f t="shared" si="36"/>
        <v>4244199.0782439793</v>
      </c>
      <c r="AN36" s="21">
        <f t="shared" si="36"/>
        <v>4290203.6438983036</v>
      </c>
      <c r="AO36" s="21">
        <f t="shared" si="36"/>
        <v>4332087.6867897343</v>
      </c>
    </row>
    <row r="37" spans="1:56" s="50" customFormat="1" x14ac:dyDescent="0.25">
      <c r="A37" s="50">
        <v>22</v>
      </c>
      <c r="B37" s="50" t="s">
        <v>192</v>
      </c>
      <c r="C37" s="50">
        <v>2088395.9415954859</v>
      </c>
      <c r="D37" s="50">
        <v>2174047.762723411</v>
      </c>
      <c r="E37" s="50">
        <v>2278177.3124021394</v>
      </c>
      <c r="F37" s="50">
        <v>2410310.3367521861</v>
      </c>
      <c r="G37" s="50">
        <v>2533470.3584187599</v>
      </c>
      <c r="H37" s="50">
        <v>2661004.8566484214</v>
      </c>
      <c r="I37" s="50">
        <v>2781703.3618429448</v>
      </c>
      <c r="J37" s="50">
        <v>2879703.2915083813</v>
      </c>
      <c r="K37" s="50">
        <v>2976276.5856181439</v>
      </c>
      <c r="L37" s="50">
        <v>3070465.4995126021</v>
      </c>
      <c r="M37" s="50">
        <v>3168524.9033237281</v>
      </c>
      <c r="N37" s="50">
        <v>3269142.093666092</v>
      </c>
      <c r="O37" s="50">
        <v>3338944.4382721162</v>
      </c>
      <c r="P37" s="50">
        <v>3384645.6063195188</v>
      </c>
      <c r="Q37" s="50">
        <v>3427326.0154140564</v>
      </c>
      <c r="R37" s="50">
        <v>3469426.5381990834</v>
      </c>
      <c r="S37" s="50">
        <v>3505018.0672684987</v>
      </c>
      <c r="T37" s="50">
        <v>3546710.9316739719</v>
      </c>
      <c r="U37" s="50">
        <v>3584354.1279996834</v>
      </c>
      <c r="V37" s="50">
        <v>3616129.7268942776</v>
      </c>
      <c r="W37" s="50">
        <v>3664502.120400663</v>
      </c>
      <c r="X37" s="50">
        <v>3690191.2733877422</v>
      </c>
      <c r="Y37" s="50">
        <v>3694892.6303766482</v>
      </c>
      <c r="Z37" s="50">
        <v>3707197.6513781026</v>
      </c>
      <c r="AA37" s="50">
        <v>3738154.4571267697</v>
      </c>
      <c r="AB37" s="50">
        <v>3765370.9313243427</v>
      </c>
      <c r="AC37" s="50">
        <v>3814387.7721622619</v>
      </c>
      <c r="AD37" s="50">
        <v>3867173.5173247284</v>
      </c>
      <c r="AE37" s="50">
        <v>3930431.3715867172</v>
      </c>
      <c r="AF37" s="50">
        <v>3973775.007339105</v>
      </c>
      <c r="AG37" s="50">
        <v>4004121.6664671912</v>
      </c>
      <c r="AH37" s="50">
        <v>4010054.7961513028</v>
      </c>
      <c r="AI37" s="50">
        <v>4031947.7188893515</v>
      </c>
      <c r="AJ37" s="50">
        <v>4095108.0732627185</v>
      </c>
      <c r="AK37" s="50">
        <v>4147485.0771297868</v>
      </c>
      <c r="AL37" s="50">
        <v>4194936.3165910682</v>
      </c>
      <c r="AM37" s="50">
        <v>4244199.0782439793</v>
      </c>
      <c r="AN37" s="50">
        <v>4290203.6438983036</v>
      </c>
      <c r="AO37" s="50">
        <v>4332087.6867897343</v>
      </c>
      <c r="AP37" s="50">
        <v>4376622</v>
      </c>
      <c r="AQ37" s="50">
        <v>4439981</v>
      </c>
      <c r="AR37" s="50">
        <v>4527796</v>
      </c>
      <c r="AS37" s="50">
        <v>4663141</v>
      </c>
      <c r="AT37" s="50">
        <v>4772651</v>
      </c>
      <c r="AU37" s="50">
        <v>4975157</v>
      </c>
      <c r="AV37" s="50">
        <v>4992309</v>
      </c>
      <c r="AW37" s="50">
        <v>4463256</v>
      </c>
      <c r="AX37" s="50">
        <v>4573529</v>
      </c>
      <c r="AY37" s="50">
        <v>4319119</v>
      </c>
      <c r="AZ37" s="50">
        <v>4336278</v>
      </c>
      <c r="BA37" s="50">
        <v>4172090</v>
      </c>
      <c r="BB37" s="50">
        <v>4161871</v>
      </c>
      <c r="BC37" s="70">
        <v>4011565</v>
      </c>
      <c r="BD37" s="70">
        <v>4011565</v>
      </c>
    </row>
    <row r="38" spans="1:56" s="49" customFormat="1" x14ac:dyDescent="0.25">
      <c r="A38" s="49">
        <v>23</v>
      </c>
      <c r="B38" s="49" t="s">
        <v>167</v>
      </c>
      <c r="C38" s="49">
        <f>C37*100</f>
        <v>208839594.15954858</v>
      </c>
      <c r="D38" s="49">
        <f t="shared" ref="D38:BB38" si="37">D37*100</f>
        <v>217404776.2723411</v>
      </c>
      <c r="E38" s="49">
        <f t="shared" si="37"/>
        <v>227817731.24021393</v>
      </c>
      <c r="F38" s="49">
        <f t="shared" si="37"/>
        <v>241031033.67521861</v>
      </c>
      <c r="G38" s="49">
        <f t="shared" si="37"/>
        <v>253347035.841876</v>
      </c>
      <c r="H38" s="49">
        <f t="shared" si="37"/>
        <v>266100485.66484213</v>
      </c>
      <c r="I38" s="49">
        <f t="shared" si="37"/>
        <v>278170336.18429446</v>
      </c>
      <c r="J38" s="49">
        <f t="shared" si="37"/>
        <v>287970329.15083814</v>
      </c>
      <c r="K38" s="49">
        <f t="shared" si="37"/>
        <v>297627658.56181437</v>
      </c>
      <c r="L38" s="49">
        <f t="shared" si="37"/>
        <v>307046549.95126021</v>
      </c>
      <c r="M38" s="49">
        <f t="shared" si="37"/>
        <v>316852490.33237278</v>
      </c>
      <c r="N38" s="49">
        <f t="shared" si="37"/>
        <v>326914209.36660922</v>
      </c>
      <c r="O38" s="49">
        <f t="shared" si="37"/>
        <v>333894443.82721162</v>
      </c>
      <c r="P38" s="49">
        <f t="shared" si="37"/>
        <v>338464560.63195187</v>
      </c>
      <c r="Q38" s="49">
        <f t="shared" si="37"/>
        <v>342732601.54140562</v>
      </c>
      <c r="R38" s="49">
        <f t="shared" si="37"/>
        <v>346942653.81990832</v>
      </c>
      <c r="S38" s="49">
        <f t="shared" si="37"/>
        <v>350501806.72684985</v>
      </c>
      <c r="T38" s="49">
        <f t="shared" si="37"/>
        <v>354671093.1673972</v>
      </c>
      <c r="U38" s="49">
        <f t="shared" si="37"/>
        <v>358435412.79996836</v>
      </c>
      <c r="V38" s="49">
        <f t="shared" si="37"/>
        <v>361612972.68942773</v>
      </c>
      <c r="W38" s="49">
        <f t="shared" si="37"/>
        <v>366450212.0400663</v>
      </c>
      <c r="X38" s="49">
        <f t="shared" si="37"/>
        <v>369019127.3387742</v>
      </c>
      <c r="Y38" s="49">
        <f t="shared" si="37"/>
        <v>369489263.03766483</v>
      </c>
      <c r="Z38" s="49">
        <f t="shared" si="37"/>
        <v>370719765.13781023</v>
      </c>
      <c r="AA38" s="49">
        <f t="shared" si="37"/>
        <v>373815445.71267694</v>
      </c>
      <c r="AB38" s="49">
        <f t="shared" si="37"/>
        <v>376537093.13243425</v>
      </c>
      <c r="AC38" s="49">
        <f t="shared" si="37"/>
        <v>381438777.21622616</v>
      </c>
      <c r="AD38" s="49">
        <f t="shared" si="37"/>
        <v>386717351.73247284</v>
      </c>
      <c r="AE38" s="49">
        <f t="shared" si="37"/>
        <v>393043137.15867174</v>
      </c>
      <c r="AF38" s="49">
        <f t="shared" si="37"/>
        <v>397377500.7339105</v>
      </c>
      <c r="AG38" s="49">
        <f t="shared" si="37"/>
        <v>400412166.6467191</v>
      </c>
      <c r="AH38" s="49">
        <f t="shared" si="37"/>
        <v>401005479.61513031</v>
      </c>
      <c r="AI38" s="49">
        <f t="shared" si="37"/>
        <v>403194771.88893515</v>
      </c>
      <c r="AJ38" s="49">
        <f t="shared" si="37"/>
        <v>409510807.32627183</v>
      </c>
      <c r="AK38" s="49">
        <f t="shared" si="37"/>
        <v>414748507.71297866</v>
      </c>
      <c r="AL38" s="49">
        <f t="shared" si="37"/>
        <v>419493631.65910679</v>
      </c>
      <c r="AM38" s="49">
        <f t="shared" si="37"/>
        <v>424419907.82439792</v>
      </c>
      <c r="AN38" s="49">
        <f t="shared" si="37"/>
        <v>429020364.38983035</v>
      </c>
      <c r="AO38" s="49">
        <f t="shared" si="37"/>
        <v>433208768.67897344</v>
      </c>
      <c r="AP38" s="49">
        <f t="shared" si="37"/>
        <v>437662200</v>
      </c>
      <c r="AQ38" s="49">
        <f t="shared" si="37"/>
        <v>443998100</v>
      </c>
      <c r="AR38" s="49">
        <f t="shared" si="37"/>
        <v>452779600</v>
      </c>
      <c r="AS38" s="49">
        <f t="shared" si="37"/>
        <v>466314100</v>
      </c>
      <c r="AT38" s="49">
        <f t="shared" si="37"/>
        <v>477265100</v>
      </c>
      <c r="AU38" s="49">
        <f t="shared" si="37"/>
        <v>497515700</v>
      </c>
      <c r="AV38" s="49">
        <f t="shared" si="37"/>
        <v>499230900</v>
      </c>
      <c r="AW38" s="49">
        <f t="shared" si="37"/>
        <v>446325600</v>
      </c>
      <c r="AX38" s="49">
        <f t="shared" si="37"/>
        <v>457352900</v>
      </c>
      <c r="AY38" s="49">
        <f t="shared" si="37"/>
        <v>431911900</v>
      </c>
      <c r="AZ38" s="49">
        <f t="shared" si="37"/>
        <v>433627800</v>
      </c>
      <c r="BA38" s="49">
        <f t="shared" si="37"/>
        <v>417209000</v>
      </c>
      <c r="BB38" s="49">
        <f t="shared" si="37"/>
        <v>416187100</v>
      </c>
      <c r="BC38" s="49">
        <f>BC37*100</f>
        <v>401156500</v>
      </c>
      <c r="BD38" s="49">
        <f>BD37*100</f>
        <v>401156500</v>
      </c>
    </row>
    <row r="39" spans="1:56" s="21" customFormat="1" x14ac:dyDescent="0.25">
      <c r="A39" s="21">
        <v>24</v>
      </c>
      <c r="B39" s="21" t="s">
        <v>193</v>
      </c>
      <c r="C39" s="21">
        <f>C38+C29+C20*1000</f>
        <v>519198885.83343434</v>
      </c>
      <c r="D39" s="21">
        <f t="shared" ref="D39:BB39" si="38">D38+D29+D20*1000</f>
        <v>537286373.76545966</v>
      </c>
      <c r="E39" s="21">
        <f t="shared" si="38"/>
        <v>556612184.55256522</v>
      </c>
      <c r="F39" s="21">
        <f t="shared" si="38"/>
        <v>578738342.80680263</v>
      </c>
      <c r="G39" s="21">
        <f t="shared" si="38"/>
        <v>599967200.79269278</v>
      </c>
      <c r="H39" s="21">
        <f t="shared" si="38"/>
        <v>621633506.43489158</v>
      </c>
      <c r="I39" s="21">
        <f t="shared" si="38"/>
        <v>642616212.77357674</v>
      </c>
      <c r="J39" s="21">
        <f t="shared" si="38"/>
        <v>661329061.55935311</v>
      </c>
      <c r="K39" s="21">
        <f t="shared" si="38"/>
        <v>679899246.78956211</v>
      </c>
      <c r="L39" s="21">
        <f t="shared" si="38"/>
        <v>698230993.99824071</v>
      </c>
      <c r="M39" s="21">
        <f t="shared" si="38"/>
        <v>716949790.19858646</v>
      </c>
      <c r="N39" s="21">
        <f t="shared" si="38"/>
        <v>717376146.48160911</v>
      </c>
      <c r="O39" s="21">
        <f t="shared" si="38"/>
        <v>734814465.25721157</v>
      </c>
      <c r="P39" s="21">
        <f t="shared" si="38"/>
        <v>749842666.37695181</v>
      </c>
      <c r="Q39" s="21">
        <f t="shared" si="38"/>
        <v>764568791.6014055</v>
      </c>
      <c r="R39" s="21">
        <f t="shared" si="38"/>
        <v>779236928.19490826</v>
      </c>
      <c r="S39" s="21">
        <f t="shared" si="38"/>
        <v>793254165.41684985</v>
      </c>
      <c r="T39" s="21">
        <f t="shared" si="38"/>
        <v>813624986.77239716</v>
      </c>
      <c r="U39" s="21">
        <f t="shared" si="38"/>
        <v>833877216.91996825</v>
      </c>
      <c r="V39" s="21">
        <f t="shared" si="38"/>
        <v>853829062.92442811</v>
      </c>
      <c r="W39" s="21">
        <f t="shared" si="38"/>
        <v>875726963.99006629</v>
      </c>
      <c r="X39" s="21">
        <f t="shared" si="38"/>
        <v>894013331.74877417</v>
      </c>
      <c r="Y39" s="21">
        <f t="shared" si="38"/>
        <v>906334255.9076649</v>
      </c>
      <c r="Z39" s="21">
        <f t="shared" si="38"/>
        <v>919415546.46781027</v>
      </c>
      <c r="AA39" s="21">
        <f t="shared" si="38"/>
        <v>934362015.50267684</v>
      </c>
      <c r="AB39" s="21">
        <f t="shared" si="38"/>
        <v>948934451.38243413</v>
      </c>
      <c r="AC39" s="21">
        <f t="shared" si="38"/>
        <v>965686923.92622614</v>
      </c>
      <c r="AD39" s="21">
        <f t="shared" si="38"/>
        <v>982816286.90247273</v>
      </c>
      <c r="AE39" s="21">
        <f t="shared" si="38"/>
        <v>1000992860.7886715</v>
      </c>
      <c r="AF39" s="21">
        <f t="shared" si="38"/>
        <v>1017178012.8239101</v>
      </c>
      <c r="AG39" s="21">
        <f t="shared" si="38"/>
        <v>1032063467.1967186</v>
      </c>
      <c r="AH39" s="21">
        <f t="shared" si="38"/>
        <v>1032671797.9535003</v>
      </c>
      <c r="AI39" s="21">
        <f t="shared" si="38"/>
        <v>1043400295.7156754</v>
      </c>
      <c r="AJ39" s="21">
        <f t="shared" si="38"/>
        <v>1058255536.641382</v>
      </c>
      <c r="AK39" s="21">
        <f t="shared" si="38"/>
        <v>1072032442.5164589</v>
      </c>
      <c r="AL39" s="21">
        <f t="shared" si="38"/>
        <v>1085316771.9509571</v>
      </c>
      <c r="AM39" s="21">
        <f t="shared" si="38"/>
        <v>1098782253.6046181</v>
      </c>
      <c r="AN39" s="21">
        <f t="shared" si="38"/>
        <v>1111921915.6584206</v>
      </c>
      <c r="AO39" s="21">
        <f t="shared" si="38"/>
        <v>1124649525.4359336</v>
      </c>
      <c r="AP39" s="21">
        <f t="shared" si="38"/>
        <v>1137642162.2453306</v>
      </c>
      <c r="AQ39" s="21">
        <f t="shared" si="38"/>
        <v>1152517267.7336998</v>
      </c>
      <c r="AR39" s="21">
        <f t="shared" si="38"/>
        <v>1178783512.7162583</v>
      </c>
      <c r="AS39" s="21">
        <f t="shared" si="38"/>
        <v>1200823728.08215</v>
      </c>
      <c r="AT39" s="21">
        <f t="shared" si="38"/>
        <v>1220280443.4480417</v>
      </c>
      <c r="AU39" s="21">
        <f t="shared" si="38"/>
        <v>1249036758.8139334</v>
      </c>
      <c r="AV39" s="21">
        <f t="shared" si="38"/>
        <v>1274752004.1798251</v>
      </c>
      <c r="AW39" s="21">
        <f t="shared" si="38"/>
        <v>1229330749.5457168</v>
      </c>
      <c r="AX39" s="21">
        <f t="shared" si="38"/>
        <v>1247842094.9116089</v>
      </c>
      <c r="AY39" s="21">
        <f t="shared" si="38"/>
        <v>1238443149.2775002</v>
      </c>
      <c r="AZ39" s="21">
        <f t="shared" si="38"/>
        <v>1225155802.1433916</v>
      </c>
      <c r="BA39" s="21">
        <f t="shared" si="38"/>
        <v>1211648526.0092833</v>
      </c>
      <c r="BB39" s="21">
        <f t="shared" si="38"/>
        <v>1213872489.875175</v>
      </c>
      <c r="BC39" s="21">
        <f>BC38+BC29+BC20*1000</f>
        <v>1202356923.7410667</v>
      </c>
      <c r="BD39" s="21">
        <f>BD38+BD29+BD20*1000</f>
        <v>1208020547.6069584</v>
      </c>
    </row>
    <row r="41" spans="1:56" x14ac:dyDescent="0.25">
      <c r="A41" s="125" t="s">
        <v>31</v>
      </c>
      <c r="B41" s="125"/>
      <c r="AW41" s="51"/>
      <c r="AY41" s="51"/>
      <c r="AZ41" s="71"/>
    </row>
    <row r="42" spans="1:56" x14ac:dyDescent="0.25">
      <c r="A42" s="14">
        <v>1</v>
      </c>
      <c r="B42" s="14" t="s">
        <v>194</v>
      </c>
      <c r="AW42" s="51" t="s">
        <v>195</v>
      </c>
      <c r="AY42" s="51"/>
    </row>
    <row r="43" spans="1:56" x14ac:dyDescent="0.25">
      <c r="A43" s="14">
        <v>2</v>
      </c>
      <c r="B43" s="14" t="s">
        <v>196</v>
      </c>
      <c r="AW43" s="14" t="s">
        <v>197</v>
      </c>
      <c r="BB43" s="72"/>
    </row>
    <row r="44" spans="1:56" x14ac:dyDescent="0.25">
      <c r="A44" s="14">
        <v>3</v>
      </c>
      <c r="B44" s="14" t="s">
        <v>107</v>
      </c>
      <c r="AW44" s="73"/>
      <c r="AY44" s="73"/>
    </row>
    <row r="45" spans="1:56" x14ac:dyDescent="0.25">
      <c r="A45" s="14">
        <v>4</v>
      </c>
      <c r="B45" s="14" t="s">
        <v>107</v>
      </c>
    </row>
    <row r="46" spans="1:56" x14ac:dyDescent="0.25">
      <c r="A46" s="14">
        <v>5</v>
      </c>
      <c r="B46" s="14" t="s">
        <v>107</v>
      </c>
    </row>
    <row r="47" spans="1:56" x14ac:dyDescent="0.25">
      <c r="A47" s="14">
        <v>6</v>
      </c>
      <c r="B47" s="14" t="s">
        <v>198</v>
      </c>
    </row>
    <row r="48" spans="1:56" x14ac:dyDescent="0.25">
      <c r="A48" s="14">
        <v>7</v>
      </c>
      <c r="B48" s="14" t="s">
        <v>198</v>
      </c>
    </row>
    <row r="49" spans="1:2" x14ac:dyDescent="0.25">
      <c r="A49" s="14">
        <v>8</v>
      </c>
      <c r="B49" s="14" t="s">
        <v>199</v>
      </c>
    </row>
    <row r="50" spans="1:2" x14ac:dyDescent="0.25">
      <c r="A50" s="14">
        <v>9</v>
      </c>
      <c r="B50" s="14" t="s">
        <v>200</v>
      </c>
    </row>
    <row r="51" spans="1:2" x14ac:dyDescent="0.25">
      <c r="A51" s="14">
        <v>10</v>
      </c>
      <c r="B51" s="14" t="s">
        <v>201</v>
      </c>
    </row>
    <row r="52" spans="1:2" x14ac:dyDescent="0.25">
      <c r="A52" s="14">
        <v>11</v>
      </c>
      <c r="B52" s="14" t="s">
        <v>107</v>
      </c>
    </row>
    <row r="53" spans="1:2" x14ac:dyDescent="0.25">
      <c r="A53" s="14">
        <v>12</v>
      </c>
      <c r="B53" s="14" t="s">
        <v>201</v>
      </c>
    </row>
    <row r="54" spans="1:2" x14ac:dyDescent="0.25">
      <c r="A54" s="14">
        <v>13</v>
      </c>
      <c r="B54" s="14" t="s">
        <v>107</v>
      </c>
    </row>
    <row r="55" spans="1:2" x14ac:dyDescent="0.25">
      <c r="A55" s="14">
        <v>14</v>
      </c>
      <c r="B55" s="14" t="s">
        <v>107</v>
      </c>
    </row>
    <row r="56" spans="1:2" x14ac:dyDescent="0.25">
      <c r="A56" s="14">
        <v>15</v>
      </c>
      <c r="B56" s="14" t="s">
        <v>202</v>
      </c>
    </row>
    <row r="57" spans="1:2" ht="14" x14ac:dyDescent="0.3">
      <c r="A57" s="14">
        <v>16</v>
      </c>
      <c r="B57" s="74" t="s">
        <v>203</v>
      </c>
    </row>
    <row r="58" spans="1:2" x14ac:dyDescent="0.25">
      <c r="A58" s="14">
        <v>17</v>
      </c>
      <c r="B58" s="14" t="s">
        <v>204</v>
      </c>
    </row>
    <row r="59" spans="1:2" x14ac:dyDescent="0.25">
      <c r="A59" s="14">
        <v>18</v>
      </c>
      <c r="B59" s="14" t="s">
        <v>204</v>
      </c>
    </row>
    <row r="60" spans="1:2" x14ac:dyDescent="0.25">
      <c r="A60" s="14">
        <v>19</v>
      </c>
      <c r="B60" s="14" t="s">
        <v>107</v>
      </c>
    </row>
    <row r="61" spans="1:2" x14ac:dyDescent="0.25">
      <c r="A61" s="14">
        <v>20</v>
      </c>
      <c r="B61" s="14" t="s">
        <v>107</v>
      </c>
    </row>
    <row r="62" spans="1:2" x14ac:dyDescent="0.25">
      <c r="A62" s="14">
        <v>21</v>
      </c>
      <c r="B62" s="14" t="s">
        <v>107</v>
      </c>
    </row>
    <row r="63" spans="1:2" x14ac:dyDescent="0.25">
      <c r="A63" s="14">
        <v>22</v>
      </c>
      <c r="B63" s="14" t="s">
        <v>205</v>
      </c>
    </row>
    <row r="64" spans="1:2" x14ac:dyDescent="0.25">
      <c r="A64" s="14">
        <v>23</v>
      </c>
      <c r="B64" s="14" t="s">
        <v>107</v>
      </c>
    </row>
    <row r="65" spans="1:11" x14ac:dyDescent="0.25">
      <c r="A65" s="14">
        <v>24</v>
      </c>
      <c r="B65" s="14" t="s">
        <v>206</v>
      </c>
    </row>
    <row r="71" spans="1:11" ht="14" x14ac:dyDescent="0.3">
      <c r="A71" s="125" t="s">
        <v>157</v>
      </c>
      <c r="B71" s="130"/>
    </row>
    <row r="72" spans="1:11" ht="32.25" customHeight="1" x14ac:dyDescent="0.25">
      <c r="A72" s="131" t="s">
        <v>207</v>
      </c>
      <c r="B72" s="131"/>
      <c r="C72" s="131"/>
      <c r="D72" s="131"/>
      <c r="E72" s="131"/>
      <c r="F72" s="131"/>
      <c r="G72" s="75"/>
      <c r="H72" s="75"/>
      <c r="I72" s="75"/>
      <c r="J72" s="75"/>
      <c r="K72" s="75"/>
    </row>
    <row r="75" spans="1:11" ht="14" x14ac:dyDescent="0.3">
      <c r="A75" s="125" t="s">
        <v>159</v>
      </c>
      <c r="B75" s="130"/>
    </row>
    <row r="76" spans="1:11" ht="308" customHeight="1" x14ac:dyDescent="0.25">
      <c r="A76" s="137" t="s">
        <v>208</v>
      </c>
      <c r="B76" s="137"/>
      <c r="C76" s="137"/>
      <c r="D76" s="137"/>
      <c r="E76" s="137"/>
      <c r="F76" s="137"/>
      <c r="G76" s="62"/>
      <c r="H76" s="62"/>
      <c r="I76" s="62"/>
      <c r="J76" s="62"/>
      <c r="K76" s="62"/>
    </row>
    <row r="79" spans="1:11" ht="14" x14ac:dyDescent="0.3">
      <c r="A79" s="125" t="s">
        <v>161</v>
      </c>
      <c r="B79" s="130"/>
    </row>
    <row r="80" spans="1:11" ht="78" customHeight="1" x14ac:dyDescent="0.25">
      <c r="A80" s="133"/>
      <c r="B80" s="133"/>
      <c r="C80" s="133"/>
      <c r="D80" s="133"/>
      <c r="E80" s="133"/>
      <c r="F80" s="133"/>
      <c r="G80" s="133"/>
      <c r="H80" s="133"/>
      <c r="I80" s="133"/>
      <c r="J80" s="133"/>
      <c r="K80" s="133"/>
    </row>
    <row r="82" spans="1:11" ht="14" x14ac:dyDescent="0.3">
      <c r="A82" s="125" t="s">
        <v>162</v>
      </c>
      <c r="B82" s="130"/>
    </row>
    <row r="83" spans="1:11" ht="110" customHeight="1" x14ac:dyDescent="0.25">
      <c r="A83" s="133"/>
      <c r="B83" s="133"/>
      <c r="C83" s="133"/>
      <c r="D83" s="133"/>
      <c r="E83" s="133"/>
      <c r="F83" s="133"/>
      <c r="G83" s="133"/>
      <c r="H83" s="133"/>
      <c r="I83" s="133"/>
      <c r="J83" s="133"/>
      <c r="K83" s="133"/>
    </row>
    <row r="85" spans="1:11" customFormat="1" x14ac:dyDescent="0.3"/>
    <row r="86" spans="1:11" customFormat="1" x14ac:dyDescent="0.3"/>
    <row r="87" spans="1:11" customFormat="1" ht="107" customHeight="1" x14ac:dyDescent="0.3"/>
    <row r="88" spans="1:11" customFormat="1" x14ac:dyDescent="0.3"/>
    <row r="89" spans="1:11" customFormat="1" x14ac:dyDescent="0.3"/>
    <row r="90" spans="1:11" customFormat="1" ht="15.75" customHeight="1" x14ac:dyDescent="0.3"/>
    <row r="91" spans="1:11" customFormat="1" x14ac:dyDescent="0.3"/>
    <row r="92" spans="1:11" customFormat="1" x14ac:dyDescent="0.3"/>
    <row r="93" spans="1:11" customFormat="1" x14ac:dyDescent="0.3"/>
    <row r="94" spans="1:11" customFormat="1" x14ac:dyDescent="0.3"/>
  </sheetData>
  <mergeCells count="11">
    <mergeCell ref="A75:B75"/>
    <mergeCell ref="A8:B8"/>
    <mergeCell ref="A15:B15"/>
    <mergeCell ref="A41:B41"/>
    <mergeCell ref="A71:B71"/>
    <mergeCell ref="A72:F72"/>
    <mergeCell ref="A76:F76"/>
    <mergeCell ref="A79:B79"/>
    <mergeCell ref="A80:K80"/>
    <mergeCell ref="A82:B82"/>
    <mergeCell ref="A83:K83"/>
  </mergeCells>
  <hyperlinks>
    <hyperlink ref="B57" r:id="rId1"/>
  </hyperlinks>
  <pageMargins left="0.75000000000000011" right="0.75000000000000011" top="1" bottom="1" header="0.5" footer="0.5"/>
  <pageSetup orientation="portrait" horizontalDpi="4294967292" verticalDpi="4294967292"/>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98"/>
  <sheetViews>
    <sheetView zoomScale="80" zoomScaleNormal="80" workbookViewId="0">
      <pane xSplit="2" ySplit="2" topLeftCell="C45" activePane="bottomRight" state="frozen"/>
      <selection activeCell="A42" sqref="A42:F42"/>
      <selection pane="topRight" activeCell="A42" sqref="A42:F42"/>
      <selection pane="bottomLeft" activeCell="A42" sqref="A42:F42"/>
      <selection pane="bottomRight" activeCell="A46" sqref="A46:F46"/>
    </sheetView>
  </sheetViews>
  <sheetFormatPr defaultColWidth="11" defaultRowHeight="13.5" x14ac:dyDescent="0.25"/>
  <cols>
    <col min="1" max="1" width="10.53515625" style="14" customWidth="1"/>
    <col min="2" max="2" width="50.53515625" style="14" customWidth="1"/>
    <col min="3" max="55" width="14.53515625" style="14" customWidth="1"/>
    <col min="56" max="16384" width="11" style="14"/>
  </cols>
  <sheetData>
    <row r="1" spans="1:56" s="3" customFormat="1" ht="18" thickBot="1" x14ac:dyDescent="0.4">
      <c r="A1" s="2" t="s">
        <v>209</v>
      </c>
      <c r="B1" s="2"/>
      <c r="C1" s="2"/>
      <c r="D1" s="2"/>
      <c r="E1" s="2"/>
    </row>
    <row r="2" spans="1:56" s="7" customFormat="1" ht="14" thickTop="1" x14ac:dyDescent="0.25">
      <c r="B2" s="6" t="s">
        <v>210</v>
      </c>
      <c r="C2" s="7">
        <v>1960</v>
      </c>
      <c r="D2" s="7">
        <v>1961</v>
      </c>
      <c r="E2" s="7">
        <v>1962</v>
      </c>
      <c r="F2" s="7">
        <v>1963</v>
      </c>
      <c r="G2" s="7">
        <v>1964</v>
      </c>
      <c r="H2" s="7">
        <v>1965</v>
      </c>
      <c r="I2" s="7">
        <v>1966</v>
      </c>
      <c r="J2" s="7">
        <v>1967</v>
      </c>
      <c r="K2" s="7">
        <v>1968</v>
      </c>
      <c r="L2" s="7">
        <v>1969</v>
      </c>
      <c r="M2" s="7">
        <v>1970</v>
      </c>
      <c r="N2" s="7">
        <v>1971</v>
      </c>
      <c r="O2" s="7">
        <v>1972</v>
      </c>
      <c r="P2" s="7">
        <v>1973</v>
      </c>
      <c r="Q2" s="7">
        <v>1974</v>
      </c>
      <c r="R2" s="7">
        <v>1975</v>
      </c>
      <c r="S2" s="7">
        <v>1976</v>
      </c>
      <c r="T2" s="7">
        <v>1977</v>
      </c>
      <c r="U2" s="7">
        <v>1978</v>
      </c>
      <c r="V2" s="7">
        <v>1979</v>
      </c>
      <c r="W2" s="7">
        <v>1980</v>
      </c>
      <c r="X2" s="7">
        <v>1981</v>
      </c>
      <c r="Y2" s="7">
        <v>1982</v>
      </c>
      <c r="Z2" s="7">
        <v>1983</v>
      </c>
      <c r="AA2" s="7">
        <v>1984</v>
      </c>
      <c r="AB2" s="7">
        <v>1985</v>
      </c>
      <c r="AC2" s="7">
        <v>1986</v>
      </c>
      <c r="AD2" s="7">
        <v>1987</v>
      </c>
      <c r="AE2" s="7">
        <v>1988</v>
      </c>
      <c r="AF2" s="7">
        <v>1989</v>
      </c>
      <c r="AG2" s="7">
        <v>1990</v>
      </c>
      <c r="AH2" s="7">
        <v>1991</v>
      </c>
      <c r="AI2" s="7">
        <v>1992</v>
      </c>
      <c r="AJ2" s="7">
        <v>1993</v>
      </c>
      <c r="AK2" s="7">
        <v>1994</v>
      </c>
      <c r="AL2" s="7">
        <v>1995</v>
      </c>
      <c r="AM2" s="7">
        <v>1996</v>
      </c>
      <c r="AN2" s="7">
        <v>1997</v>
      </c>
      <c r="AO2" s="7">
        <v>1998</v>
      </c>
      <c r="AP2" s="7">
        <v>1999</v>
      </c>
      <c r="AQ2" s="7">
        <v>2000</v>
      </c>
      <c r="AR2" s="7">
        <v>2001</v>
      </c>
      <c r="AS2" s="7">
        <v>2002</v>
      </c>
      <c r="AT2" s="7">
        <v>2003</v>
      </c>
      <c r="AU2" s="7">
        <v>2004</v>
      </c>
      <c r="AV2" s="7">
        <v>2005</v>
      </c>
      <c r="AW2" s="7">
        <v>2006</v>
      </c>
      <c r="AX2" s="7">
        <v>2007</v>
      </c>
      <c r="AY2" s="7">
        <v>2008</v>
      </c>
      <c r="AZ2" s="7">
        <v>2009</v>
      </c>
      <c r="BA2" s="7">
        <v>2010</v>
      </c>
      <c r="BB2" s="7">
        <v>2011</v>
      </c>
      <c r="BC2" s="7">
        <v>2012</v>
      </c>
      <c r="BD2" s="7">
        <v>2013</v>
      </c>
    </row>
    <row r="3" spans="1:56" s="60" customFormat="1" x14ac:dyDescent="0.25">
      <c r="A3" s="13">
        <v>1</v>
      </c>
      <c r="B3" s="60" t="s">
        <v>211</v>
      </c>
      <c r="C3" s="60">
        <f t="shared" ref="C3:BB3" si="0">C15</f>
        <v>1.2079800378732706</v>
      </c>
      <c r="D3" s="60">
        <f t="shared" si="0"/>
        <v>1.2324267909686819</v>
      </c>
      <c r="E3" s="60">
        <f t="shared" si="0"/>
        <v>1.2661865928623453</v>
      </c>
      <c r="F3" s="60">
        <f t="shared" si="0"/>
        <v>1.3139159679533865</v>
      </c>
      <c r="G3" s="60">
        <f t="shared" si="0"/>
        <v>1.3550486001456663</v>
      </c>
      <c r="H3" s="60">
        <f t="shared" si="0"/>
        <v>1.3969573197378005</v>
      </c>
      <c r="I3" s="60">
        <f t="shared" si="0"/>
        <v>1.4338214712308814</v>
      </c>
      <c r="J3" s="60">
        <f t="shared" si="0"/>
        <v>1.4578801806263657</v>
      </c>
      <c r="K3" s="60">
        <f t="shared" si="0"/>
        <v>1.4803867152221415</v>
      </c>
      <c r="L3" s="60">
        <f t="shared" si="0"/>
        <v>1.5009530313182811</v>
      </c>
      <c r="M3" s="60">
        <f t="shared" si="0"/>
        <v>1.5226834785142025</v>
      </c>
      <c r="N3" s="60">
        <f t="shared" si="0"/>
        <v>1.5591595863073562</v>
      </c>
      <c r="O3" s="60">
        <f t="shared" si="0"/>
        <v>1.5805019898033503</v>
      </c>
      <c r="P3" s="60">
        <f t="shared" si="0"/>
        <v>1.5902030823015294</v>
      </c>
      <c r="Q3" s="60">
        <f t="shared" si="0"/>
        <v>1.5983519999999998</v>
      </c>
      <c r="R3" s="60">
        <f t="shared" si="0"/>
        <v>1.6155055999999997</v>
      </c>
      <c r="S3" s="60">
        <f t="shared" si="0"/>
        <v>1.6326591999999998</v>
      </c>
      <c r="T3" s="60">
        <f t="shared" si="0"/>
        <v>1.6498127999999996</v>
      </c>
      <c r="U3" s="60">
        <f t="shared" si="0"/>
        <v>1.6669664</v>
      </c>
      <c r="V3" s="60">
        <f t="shared" si="0"/>
        <v>1.6841199999999998</v>
      </c>
      <c r="W3" s="60">
        <f t="shared" si="0"/>
        <v>1.7012735999999997</v>
      </c>
      <c r="X3" s="60">
        <f t="shared" si="0"/>
        <v>1.7184271999999998</v>
      </c>
      <c r="Y3" s="60">
        <f t="shared" si="0"/>
        <v>1.7355807999999997</v>
      </c>
      <c r="Z3" s="60">
        <f t="shared" si="0"/>
        <v>1.7527343999999998</v>
      </c>
      <c r="AA3" s="60">
        <f t="shared" si="0"/>
        <v>1.7698879999999997</v>
      </c>
      <c r="AB3" s="60">
        <f t="shared" si="0"/>
        <v>1.7870415999999998</v>
      </c>
      <c r="AC3" s="60">
        <f t="shared" si="0"/>
        <v>1.8041951999999999</v>
      </c>
      <c r="AD3" s="60">
        <f t="shared" si="0"/>
        <v>1.8213487999999998</v>
      </c>
      <c r="AE3" s="60">
        <f t="shared" si="0"/>
        <v>1.8385023999999999</v>
      </c>
      <c r="AF3" s="60">
        <f t="shared" si="0"/>
        <v>1.8556559999999998</v>
      </c>
      <c r="AG3" s="60">
        <f t="shared" si="0"/>
        <v>1.9402443076923073</v>
      </c>
      <c r="AH3" s="60">
        <f t="shared" si="0"/>
        <v>2.0248326153846152</v>
      </c>
      <c r="AI3" s="60">
        <f t="shared" si="0"/>
        <v>2.1094209230769225</v>
      </c>
      <c r="AJ3" s="60">
        <f t="shared" si="0"/>
        <v>2.1940092307692307</v>
      </c>
      <c r="AK3" s="60">
        <f t="shared" si="0"/>
        <v>2.278597538461538</v>
      </c>
      <c r="AL3" s="60">
        <f t="shared" si="0"/>
        <v>2.3631858461538457</v>
      </c>
      <c r="AM3" s="60">
        <f t="shared" si="0"/>
        <v>2.4477741538461535</v>
      </c>
      <c r="AN3" s="60">
        <f t="shared" si="0"/>
        <v>2.5323624615384612</v>
      </c>
      <c r="AO3" s="60">
        <f t="shared" si="0"/>
        <v>2.616950769230769</v>
      </c>
      <c r="AP3" s="60">
        <f t="shared" si="0"/>
        <v>2.7015390769230763</v>
      </c>
      <c r="AQ3" s="60">
        <f t="shared" si="0"/>
        <v>2.786127384615384</v>
      </c>
      <c r="AR3" s="60">
        <f t="shared" si="0"/>
        <v>2.8707156923076917</v>
      </c>
      <c r="AS3" s="60">
        <f t="shared" si="0"/>
        <v>3.4949039999999996</v>
      </c>
      <c r="AT3" s="60">
        <f t="shared" si="0"/>
        <v>2.6991359999999998</v>
      </c>
      <c r="AU3" s="60">
        <f t="shared" si="0"/>
        <v>2.671872</v>
      </c>
      <c r="AV3" s="60">
        <f t="shared" si="0"/>
        <v>4.019736</v>
      </c>
      <c r="AW3" s="60">
        <f t="shared" si="0"/>
        <v>2.8371599999999999</v>
      </c>
      <c r="AX3" s="60">
        <f t="shared" si="0"/>
        <v>3.2955360000000002</v>
      </c>
      <c r="AY3" s="60">
        <f t="shared" si="0"/>
        <v>3.6908639999999995</v>
      </c>
      <c r="AZ3" s="60">
        <f t="shared" si="0"/>
        <v>3.2273759999999996</v>
      </c>
      <c r="BA3" s="60">
        <f t="shared" si="0"/>
        <v>2.970072</v>
      </c>
      <c r="BB3" s="60">
        <f t="shared" si="0"/>
        <v>3.0382319999999998</v>
      </c>
      <c r="BC3" s="60">
        <f>BC15</f>
        <v>3.2444159999999997</v>
      </c>
      <c r="BD3" s="60">
        <f>BD15</f>
        <v>3.7796820864155998</v>
      </c>
    </row>
    <row r="4" spans="1:56" x14ac:dyDescent="0.25">
      <c r="A4" s="13">
        <v>2</v>
      </c>
      <c r="B4" s="14" t="s">
        <v>212</v>
      </c>
      <c r="C4" s="14">
        <v>70.890847293032309</v>
      </c>
      <c r="D4" s="14">
        <v>72.325515901917953</v>
      </c>
      <c r="E4" s="14">
        <v>74.306724933236225</v>
      </c>
      <c r="F4" s="14">
        <v>77.107744598203439</v>
      </c>
      <c r="G4" s="14">
        <v>79.521631463947557</v>
      </c>
      <c r="H4" s="14">
        <v>81.981063364894396</v>
      </c>
      <c r="I4" s="14">
        <v>84.144452537023554</v>
      </c>
      <c r="J4" s="14">
        <v>85.556348628307845</v>
      </c>
      <c r="K4" s="14">
        <v>86.877154649186707</v>
      </c>
      <c r="L4" s="14">
        <v>88.084098082058759</v>
      </c>
      <c r="M4" s="14">
        <v>89.3593590677349</v>
      </c>
      <c r="N4" s="14">
        <v>91.49997572226269</v>
      </c>
      <c r="O4" s="14">
        <v>92.752464190337463</v>
      </c>
      <c r="P4" s="14">
        <v>93.321777130371444</v>
      </c>
      <c r="Q4" s="14">
        <v>93.8</v>
      </c>
      <c r="R4" s="14">
        <v>94.806666666666658</v>
      </c>
      <c r="S4" s="14">
        <v>95.813333333333333</v>
      </c>
      <c r="T4" s="14">
        <v>96.82</v>
      </c>
      <c r="U4" s="14">
        <v>97.826666666666668</v>
      </c>
      <c r="V4" s="14">
        <v>98.833333333333329</v>
      </c>
      <c r="W4" s="14">
        <v>99.839999999999989</v>
      </c>
      <c r="X4" s="14">
        <v>100.84666666666666</v>
      </c>
      <c r="Y4" s="14">
        <v>101.85333333333332</v>
      </c>
      <c r="Z4" s="14">
        <v>102.86</v>
      </c>
      <c r="AA4" s="14">
        <v>103.86666666666666</v>
      </c>
      <c r="AB4" s="14">
        <v>104.87333333333332</v>
      </c>
      <c r="AC4" s="14">
        <v>105.88</v>
      </c>
      <c r="AD4" s="14">
        <v>106.88666666666666</v>
      </c>
      <c r="AE4" s="14">
        <v>107.89333333333333</v>
      </c>
      <c r="AF4" s="14">
        <v>108.89999999999999</v>
      </c>
      <c r="AG4" s="14">
        <v>113.86410256410255</v>
      </c>
      <c r="AH4" s="14">
        <v>118.82820512820511</v>
      </c>
      <c r="AI4" s="14">
        <v>123.79230769230767</v>
      </c>
      <c r="AJ4" s="14">
        <v>128.75641025641025</v>
      </c>
      <c r="AK4" s="14">
        <v>133.72051282051279</v>
      </c>
      <c r="AL4" s="14">
        <v>138.68461538461537</v>
      </c>
      <c r="AM4" s="14">
        <v>143.64871794871794</v>
      </c>
      <c r="AN4" s="14">
        <v>148.61282051282049</v>
      </c>
      <c r="AO4" s="14">
        <v>153.57692307692307</v>
      </c>
      <c r="AP4" s="14">
        <v>158.54102564102561</v>
      </c>
      <c r="AQ4" s="14">
        <f t="shared" ref="AQ4:BB4" si="1">AQ27</f>
        <v>163.50512820512819</v>
      </c>
      <c r="AR4" s="14">
        <f t="shared" si="1"/>
        <v>168.46923076923076</v>
      </c>
      <c r="AS4" s="14">
        <f t="shared" si="1"/>
        <v>205.1</v>
      </c>
      <c r="AT4" s="14">
        <f t="shared" si="1"/>
        <v>158.4</v>
      </c>
      <c r="AU4" s="14">
        <f t="shared" si="1"/>
        <v>156.80000000000001</v>
      </c>
      <c r="AV4" s="14">
        <f t="shared" si="1"/>
        <v>235.9</v>
      </c>
      <c r="AW4" s="14">
        <f t="shared" si="1"/>
        <v>166.5</v>
      </c>
      <c r="AX4" s="14">
        <f t="shared" si="1"/>
        <v>193.4</v>
      </c>
      <c r="AY4" s="14">
        <f t="shared" si="1"/>
        <v>216.6</v>
      </c>
      <c r="AZ4" s="14">
        <f t="shared" si="1"/>
        <v>189.4</v>
      </c>
      <c r="BA4" s="14">
        <f t="shared" si="1"/>
        <v>174.3</v>
      </c>
      <c r="BB4" s="14">
        <f t="shared" si="1"/>
        <v>178.3</v>
      </c>
      <c r="BC4" s="14">
        <f>BC27</f>
        <v>190.4</v>
      </c>
      <c r="BD4" s="14">
        <f>BD27</f>
        <v>221.81232901499999</v>
      </c>
    </row>
    <row r="5" spans="1:56" x14ac:dyDescent="0.25">
      <c r="AQ5" s="76">
        <f>AQ4/AP4-1</f>
        <v>3.131115459882583E-2</v>
      </c>
      <c r="AR5" s="76">
        <f t="shared" ref="AR5:BD5" si="2">AR4/AQ4-1</f>
        <v>3.0360531309298056E-2</v>
      </c>
      <c r="AS5" s="76">
        <f t="shared" si="2"/>
        <v>0.21743299392721793</v>
      </c>
      <c r="AT5" s="76">
        <f t="shared" si="2"/>
        <v>-0.22769380789858595</v>
      </c>
      <c r="AU5" s="76">
        <f t="shared" si="2"/>
        <v>-1.0101010101010055E-2</v>
      </c>
      <c r="AV5" s="76">
        <f t="shared" si="2"/>
        <v>0.50446428571428559</v>
      </c>
      <c r="AW5" s="76">
        <f t="shared" si="2"/>
        <v>-0.29419245442984321</v>
      </c>
      <c r="AX5" s="76">
        <f t="shared" si="2"/>
        <v>0.16156156156156154</v>
      </c>
      <c r="AY5" s="76">
        <f t="shared" si="2"/>
        <v>0.11995863495346426</v>
      </c>
      <c r="AZ5" s="76">
        <f t="shared" si="2"/>
        <v>-0.12557710064635264</v>
      </c>
      <c r="BA5" s="76">
        <f t="shared" si="2"/>
        <v>-7.9725448785638808E-2</v>
      </c>
      <c r="BB5" s="76">
        <f t="shared" si="2"/>
        <v>2.2948938611589309E-2</v>
      </c>
      <c r="BC5" s="76">
        <f t="shared" si="2"/>
        <v>6.7863151991026216E-2</v>
      </c>
      <c r="BD5" s="76">
        <f t="shared" si="2"/>
        <v>0.16498071961659644</v>
      </c>
    </row>
    <row r="6" spans="1:56" x14ac:dyDescent="0.25">
      <c r="A6" s="125" t="s">
        <v>5</v>
      </c>
      <c r="B6" s="125"/>
    </row>
    <row r="7" spans="1:56" x14ac:dyDescent="0.25">
      <c r="A7" s="14">
        <v>1</v>
      </c>
      <c r="B7" s="14" t="s">
        <v>213</v>
      </c>
    </row>
    <row r="8" spans="1:56" x14ac:dyDescent="0.25">
      <c r="A8" s="14">
        <v>2</v>
      </c>
      <c r="B8" s="14" t="s">
        <v>214</v>
      </c>
    </row>
    <row r="9" spans="1:56" x14ac:dyDescent="0.25">
      <c r="A9" s="14">
        <v>3</v>
      </c>
      <c r="B9" s="14" t="s">
        <v>214</v>
      </c>
    </row>
    <row r="10" spans="1:56" x14ac:dyDescent="0.25">
      <c r="A10" s="14">
        <v>4</v>
      </c>
      <c r="B10" s="14" t="s">
        <v>215</v>
      </c>
    </row>
    <row r="11" spans="1:56" x14ac:dyDescent="0.25">
      <c r="A11" s="14">
        <v>5</v>
      </c>
      <c r="B11" s="14" t="s">
        <v>216</v>
      </c>
    </row>
    <row r="14" spans="1:56" ht="14" x14ac:dyDescent="0.3">
      <c r="A14" s="125" t="s">
        <v>10</v>
      </c>
      <c r="B14" s="130"/>
    </row>
    <row r="15" spans="1:56" s="18" customFormat="1" x14ac:dyDescent="0.25">
      <c r="A15" s="18">
        <v>1</v>
      </c>
      <c r="B15" s="77" t="s">
        <v>217</v>
      </c>
      <c r="C15" s="18">
        <f t="shared" ref="C15:BB15" si="3">C29/1000</f>
        <v>1.2079800378732706</v>
      </c>
      <c r="D15" s="18">
        <f t="shared" si="3"/>
        <v>1.2324267909686819</v>
      </c>
      <c r="E15" s="18">
        <f t="shared" si="3"/>
        <v>1.2661865928623453</v>
      </c>
      <c r="F15" s="18">
        <f t="shared" si="3"/>
        <v>1.3139159679533865</v>
      </c>
      <c r="G15" s="18">
        <f t="shared" si="3"/>
        <v>1.3550486001456663</v>
      </c>
      <c r="H15" s="18">
        <f t="shared" si="3"/>
        <v>1.3969573197378005</v>
      </c>
      <c r="I15" s="18">
        <f t="shared" si="3"/>
        <v>1.4338214712308814</v>
      </c>
      <c r="J15" s="18">
        <f t="shared" si="3"/>
        <v>1.4578801806263657</v>
      </c>
      <c r="K15" s="18">
        <f t="shared" si="3"/>
        <v>1.4803867152221415</v>
      </c>
      <c r="L15" s="18">
        <f t="shared" si="3"/>
        <v>1.5009530313182811</v>
      </c>
      <c r="M15" s="18">
        <f t="shared" si="3"/>
        <v>1.5226834785142025</v>
      </c>
      <c r="N15" s="18">
        <f t="shared" si="3"/>
        <v>1.5591595863073562</v>
      </c>
      <c r="O15" s="18">
        <f t="shared" si="3"/>
        <v>1.5805019898033503</v>
      </c>
      <c r="P15" s="18">
        <f t="shared" si="3"/>
        <v>1.5902030823015294</v>
      </c>
      <c r="Q15" s="18">
        <f t="shared" si="3"/>
        <v>1.5983519999999998</v>
      </c>
      <c r="R15" s="18">
        <f t="shared" si="3"/>
        <v>1.6155055999999997</v>
      </c>
      <c r="S15" s="18">
        <f t="shared" si="3"/>
        <v>1.6326591999999998</v>
      </c>
      <c r="T15" s="18">
        <f t="shared" si="3"/>
        <v>1.6498127999999996</v>
      </c>
      <c r="U15" s="18">
        <f t="shared" si="3"/>
        <v>1.6669664</v>
      </c>
      <c r="V15" s="18">
        <f t="shared" si="3"/>
        <v>1.6841199999999998</v>
      </c>
      <c r="W15" s="18">
        <f t="shared" si="3"/>
        <v>1.7012735999999997</v>
      </c>
      <c r="X15" s="18">
        <f t="shared" si="3"/>
        <v>1.7184271999999998</v>
      </c>
      <c r="Y15" s="18">
        <f t="shared" si="3"/>
        <v>1.7355807999999997</v>
      </c>
      <c r="Z15" s="18">
        <f t="shared" si="3"/>
        <v>1.7527343999999998</v>
      </c>
      <c r="AA15" s="18">
        <f t="shared" si="3"/>
        <v>1.7698879999999997</v>
      </c>
      <c r="AB15" s="18">
        <f t="shared" si="3"/>
        <v>1.7870415999999998</v>
      </c>
      <c r="AC15" s="18">
        <f t="shared" si="3"/>
        <v>1.8041951999999999</v>
      </c>
      <c r="AD15" s="18">
        <f t="shared" si="3"/>
        <v>1.8213487999999998</v>
      </c>
      <c r="AE15" s="18">
        <f t="shared" si="3"/>
        <v>1.8385023999999999</v>
      </c>
      <c r="AF15" s="18">
        <f t="shared" si="3"/>
        <v>1.8556559999999998</v>
      </c>
      <c r="AG15" s="18">
        <f t="shared" si="3"/>
        <v>1.9402443076923073</v>
      </c>
      <c r="AH15" s="18">
        <f t="shared" si="3"/>
        <v>2.0248326153846152</v>
      </c>
      <c r="AI15" s="18">
        <f t="shared" si="3"/>
        <v>2.1094209230769225</v>
      </c>
      <c r="AJ15" s="18">
        <f t="shared" si="3"/>
        <v>2.1940092307692307</v>
      </c>
      <c r="AK15" s="18">
        <f t="shared" si="3"/>
        <v>2.278597538461538</v>
      </c>
      <c r="AL15" s="18">
        <f t="shared" si="3"/>
        <v>2.3631858461538457</v>
      </c>
      <c r="AM15" s="18">
        <f t="shared" si="3"/>
        <v>2.4477741538461535</v>
      </c>
      <c r="AN15" s="18">
        <f t="shared" si="3"/>
        <v>2.5323624615384612</v>
      </c>
      <c r="AO15" s="18">
        <f t="shared" si="3"/>
        <v>2.616950769230769</v>
      </c>
      <c r="AP15" s="18">
        <f t="shared" si="3"/>
        <v>2.7015390769230763</v>
      </c>
      <c r="AQ15" s="18">
        <f t="shared" si="3"/>
        <v>2.786127384615384</v>
      </c>
      <c r="AR15" s="18">
        <f t="shared" si="3"/>
        <v>2.8707156923076917</v>
      </c>
      <c r="AS15" s="18">
        <f t="shared" si="3"/>
        <v>3.4949039999999996</v>
      </c>
      <c r="AT15" s="18">
        <f t="shared" si="3"/>
        <v>2.6991359999999998</v>
      </c>
      <c r="AU15" s="18">
        <f t="shared" si="3"/>
        <v>2.671872</v>
      </c>
      <c r="AV15" s="18">
        <f t="shared" si="3"/>
        <v>4.019736</v>
      </c>
      <c r="AW15" s="18">
        <f t="shared" si="3"/>
        <v>2.8371599999999999</v>
      </c>
      <c r="AX15" s="18">
        <f t="shared" si="3"/>
        <v>3.2955360000000002</v>
      </c>
      <c r="AY15" s="18">
        <f t="shared" si="3"/>
        <v>3.6908639999999995</v>
      </c>
      <c r="AZ15" s="18">
        <f t="shared" si="3"/>
        <v>3.2273759999999996</v>
      </c>
      <c r="BA15" s="18">
        <f t="shared" si="3"/>
        <v>2.970072</v>
      </c>
      <c r="BB15" s="18">
        <f t="shared" si="3"/>
        <v>3.0382319999999998</v>
      </c>
      <c r="BC15" s="18">
        <f>BC29/1000</f>
        <v>3.2444159999999997</v>
      </c>
      <c r="BD15" s="18">
        <f>BD29/1000</f>
        <v>3.7796820864155998</v>
      </c>
    </row>
    <row r="16" spans="1:56" s="21" customFormat="1" x14ac:dyDescent="0.25">
      <c r="A16" s="21">
        <v>2</v>
      </c>
      <c r="B16" s="21" t="s">
        <v>218</v>
      </c>
      <c r="AF16" s="21">
        <v>0.72599999999999998</v>
      </c>
      <c r="AS16" s="21">
        <v>1.3</v>
      </c>
      <c r="AT16" s="21">
        <v>1.3</v>
      </c>
      <c r="AU16" s="21">
        <v>1.3</v>
      </c>
      <c r="AV16" s="21">
        <v>1.3</v>
      </c>
      <c r="AW16" s="21">
        <v>1.2</v>
      </c>
      <c r="AX16" s="21">
        <v>1.2</v>
      </c>
      <c r="AY16" s="21">
        <v>1.3</v>
      </c>
      <c r="AZ16" s="21">
        <v>1.3</v>
      </c>
      <c r="BA16" s="21">
        <v>1.3</v>
      </c>
      <c r="BB16" s="21">
        <v>1.3</v>
      </c>
      <c r="BC16" s="21">
        <v>1.3</v>
      </c>
    </row>
    <row r="17" spans="1:56" s="21" customFormat="1" x14ac:dyDescent="0.25">
      <c r="A17" s="21">
        <v>3</v>
      </c>
      <c r="B17" s="21" t="s">
        <v>219</v>
      </c>
      <c r="AF17" s="21">
        <v>20.2</v>
      </c>
      <c r="AS17" s="21">
        <v>31.8</v>
      </c>
      <c r="AT17" s="21">
        <v>30.2</v>
      </c>
      <c r="AU17" s="21">
        <v>30.5</v>
      </c>
      <c r="AV17" s="21">
        <v>30.1</v>
      </c>
      <c r="AW17" s="21">
        <v>27.5</v>
      </c>
      <c r="AX17" s="21">
        <v>28</v>
      </c>
      <c r="AY17" s="21">
        <v>30.8</v>
      </c>
      <c r="AZ17" s="21">
        <v>29.4</v>
      </c>
      <c r="BA17" s="21">
        <v>27.9</v>
      </c>
      <c r="BB17" s="21">
        <v>27.6</v>
      </c>
      <c r="BC17" s="78">
        <v>28.5</v>
      </c>
    </row>
    <row r="18" spans="1:56" s="21" customFormat="1" x14ac:dyDescent="0.25">
      <c r="A18" s="21">
        <v>4</v>
      </c>
      <c r="B18" s="21" t="s">
        <v>220</v>
      </c>
      <c r="AS18" s="21">
        <v>205.1</v>
      </c>
      <c r="AT18" s="21">
        <v>158.4</v>
      </c>
      <c r="AU18" s="21">
        <v>156.80000000000001</v>
      </c>
      <c r="AV18" s="21">
        <v>235.9</v>
      </c>
      <c r="AW18" s="21">
        <v>166.5</v>
      </c>
      <c r="AX18" s="21">
        <v>193.4</v>
      </c>
      <c r="AY18" s="21">
        <v>216.6</v>
      </c>
      <c r="AZ18" s="21">
        <v>189.4</v>
      </c>
      <c r="BA18" s="21">
        <v>174.3</v>
      </c>
      <c r="BB18" s="21">
        <v>178.3</v>
      </c>
      <c r="BC18" s="21">
        <v>190.4</v>
      </c>
      <c r="BD18" s="78">
        <f>0.137*365*([1]POP!BN4-AY35/1000)/1000</f>
        <v>221.81232901499999</v>
      </c>
    </row>
    <row r="19" spans="1:56" s="28" customFormat="1" x14ac:dyDescent="0.25">
      <c r="A19" s="28">
        <v>5</v>
      </c>
      <c r="B19" s="28" t="s">
        <v>221</v>
      </c>
      <c r="AS19" s="28">
        <v>50.6</v>
      </c>
      <c r="AT19" s="28">
        <v>37.9</v>
      </c>
      <c r="AU19" s="28">
        <v>36.9</v>
      </c>
      <c r="AV19" s="28">
        <v>55</v>
      </c>
      <c r="AW19" s="28">
        <v>38.5</v>
      </c>
      <c r="AX19" s="28">
        <v>44.3</v>
      </c>
      <c r="AY19" s="28">
        <v>49.6</v>
      </c>
      <c r="AZ19" s="28">
        <v>45.7</v>
      </c>
      <c r="BA19" s="28">
        <v>43.9</v>
      </c>
      <c r="BC19" s="28">
        <v>41.5</v>
      </c>
    </row>
    <row r="20" spans="1:56" s="21" customFormat="1" x14ac:dyDescent="0.25">
      <c r="A20" s="21">
        <v>6</v>
      </c>
      <c r="B20" s="21" t="s">
        <v>222</v>
      </c>
      <c r="Q20" s="21">
        <v>35</v>
      </c>
      <c r="AF20" s="21">
        <v>38</v>
      </c>
      <c r="AS20" s="21">
        <v>59.8</v>
      </c>
      <c r="AT20" s="21">
        <v>63.8</v>
      </c>
      <c r="AU20" s="21">
        <v>64.5</v>
      </c>
      <c r="AV20" s="21">
        <v>65.400000000000006</v>
      </c>
      <c r="AW20" s="21">
        <v>61.2</v>
      </c>
      <c r="AX20" s="21">
        <v>60.8</v>
      </c>
      <c r="AY20" s="21">
        <v>61.8</v>
      </c>
      <c r="AZ20" s="21">
        <v>63.4</v>
      </c>
      <c r="BA20" s="21">
        <v>62.7</v>
      </c>
    </row>
    <row r="21" spans="1:56" s="21" customFormat="1" x14ac:dyDescent="0.25">
      <c r="A21" s="21">
        <v>7</v>
      </c>
      <c r="B21" s="21" t="s">
        <v>223</v>
      </c>
      <c r="Q21" s="21">
        <v>23.6</v>
      </c>
      <c r="AF21" s="21">
        <v>20.399999999999999</v>
      </c>
      <c r="AS21" s="21">
        <v>27.4</v>
      </c>
      <c r="AT21" s="21">
        <v>28.8</v>
      </c>
      <c r="AU21" s="21">
        <v>28.8</v>
      </c>
      <c r="AV21" s="21">
        <v>28.8</v>
      </c>
      <c r="AW21" s="21">
        <v>26.7</v>
      </c>
      <c r="AX21" s="21">
        <v>26.2</v>
      </c>
      <c r="AY21" s="21">
        <v>26.4</v>
      </c>
      <c r="AZ21" s="21">
        <v>26.8</v>
      </c>
      <c r="BA21" s="21">
        <v>26.5</v>
      </c>
    </row>
    <row r="22" spans="1:56" s="21" customFormat="1" x14ac:dyDescent="0.25">
      <c r="A22" s="21">
        <v>8</v>
      </c>
      <c r="B22" s="21" t="s">
        <v>224</v>
      </c>
      <c r="AS22" s="21">
        <v>8</v>
      </c>
      <c r="AT22" s="21">
        <v>8.3000000000000007</v>
      </c>
      <c r="AU22" s="21">
        <v>8.5</v>
      </c>
      <c r="AV22" s="21">
        <v>8.1999999999999993</v>
      </c>
      <c r="AW22" s="21">
        <v>8.1</v>
      </c>
      <c r="AX22" s="21">
        <v>8.1</v>
      </c>
      <c r="AY22" s="21">
        <v>8</v>
      </c>
      <c r="AZ22" s="21">
        <v>8.1</v>
      </c>
      <c r="BA22" s="21">
        <v>8.1</v>
      </c>
    </row>
    <row r="23" spans="1:56" s="28" customFormat="1" x14ac:dyDescent="0.25">
      <c r="A23" s="28">
        <v>9</v>
      </c>
      <c r="B23" s="28" t="s">
        <v>225</v>
      </c>
      <c r="AS23" s="28">
        <v>36.799999999999997</v>
      </c>
      <c r="AT23" s="28">
        <v>37.6</v>
      </c>
      <c r="AU23" s="28">
        <v>37.9</v>
      </c>
      <c r="AV23" s="28">
        <v>36.299999999999997</v>
      </c>
      <c r="AW23" s="28">
        <v>35.299999999999997</v>
      </c>
      <c r="AX23" s="28">
        <v>34.799999999999997</v>
      </c>
      <c r="AY23" s="28">
        <v>34.200000000000003</v>
      </c>
      <c r="AZ23" s="28">
        <v>34.200000000000003</v>
      </c>
      <c r="BA23" s="28">
        <v>34.1</v>
      </c>
    </row>
    <row r="24" spans="1:56" s="21" customFormat="1" x14ac:dyDescent="0.25">
      <c r="A24" s="21">
        <v>10</v>
      </c>
      <c r="B24" s="28" t="s">
        <v>226</v>
      </c>
      <c r="Q24" s="21">
        <v>93.8</v>
      </c>
      <c r="AF24" s="21">
        <f>0.726*150</f>
        <v>108.89999999999999</v>
      </c>
      <c r="AS24" s="21">
        <f>(AS18+AT18+AU18)/3</f>
        <v>173.43333333333331</v>
      </c>
    </row>
    <row r="25" spans="1:56" s="21" customFormat="1" x14ac:dyDescent="0.25">
      <c r="A25" s="21">
        <v>11</v>
      </c>
      <c r="B25" s="21" t="s">
        <v>227</v>
      </c>
      <c r="C25" s="21">
        <f>D25*C26</f>
        <v>70.890847293032309</v>
      </c>
      <c r="D25" s="21">
        <f t="shared" ref="D25:M25" si="4">E25*D26</f>
        <v>72.325515901917953</v>
      </c>
      <c r="E25" s="21">
        <f>F25*E26</f>
        <v>74.306724933236225</v>
      </c>
      <c r="F25" s="21">
        <f t="shared" si="4"/>
        <v>77.107744598203439</v>
      </c>
      <c r="G25" s="21">
        <f t="shared" si="4"/>
        <v>79.521631463947557</v>
      </c>
      <c r="H25" s="21">
        <f t="shared" si="4"/>
        <v>81.981063364894396</v>
      </c>
      <c r="I25" s="21">
        <f t="shared" si="4"/>
        <v>84.144452537023554</v>
      </c>
      <c r="J25" s="21">
        <f t="shared" si="4"/>
        <v>85.556348628307845</v>
      </c>
      <c r="K25" s="21">
        <f t="shared" si="4"/>
        <v>86.877154649186707</v>
      </c>
      <c r="L25" s="21">
        <f t="shared" si="4"/>
        <v>88.084098082058759</v>
      </c>
      <c r="M25" s="21">
        <f t="shared" si="4"/>
        <v>89.3593590677349</v>
      </c>
      <c r="N25" s="21">
        <f>O25*N26</f>
        <v>91.49997572226269</v>
      </c>
      <c r="O25" s="21">
        <f>P25*O26</f>
        <v>92.752464190337463</v>
      </c>
      <c r="P25" s="21">
        <f>Q24*P26</f>
        <v>93.321777130371444</v>
      </c>
      <c r="R25" s="21">
        <f t="shared" ref="R25:AE25" si="5">$Q24+(R2-$Q2)*($AF24-$Q24)/15</f>
        <v>94.806666666666658</v>
      </c>
      <c r="S25" s="21">
        <f t="shared" si="5"/>
        <v>95.813333333333333</v>
      </c>
      <c r="T25" s="21">
        <f t="shared" si="5"/>
        <v>96.82</v>
      </c>
      <c r="U25" s="21">
        <f t="shared" si="5"/>
        <v>97.826666666666668</v>
      </c>
      <c r="V25" s="21">
        <f t="shared" si="5"/>
        <v>98.833333333333329</v>
      </c>
      <c r="W25" s="21">
        <f t="shared" si="5"/>
        <v>99.839999999999989</v>
      </c>
      <c r="X25" s="21">
        <f t="shared" si="5"/>
        <v>100.84666666666666</v>
      </c>
      <c r="Y25" s="21">
        <f t="shared" si="5"/>
        <v>101.85333333333332</v>
      </c>
      <c r="Z25" s="21">
        <f t="shared" si="5"/>
        <v>102.86</v>
      </c>
      <c r="AA25" s="21">
        <f t="shared" si="5"/>
        <v>103.86666666666666</v>
      </c>
      <c r="AB25" s="21">
        <f t="shared" si="5"/>
        <v>104.87333333333332</v>
      </c>
      <c r="AC25" s="21">
        <f t="shared" si="5"/>
        <v>105.88</v>
      </c>
      <c r="AD25" s="21">
        <f t="shared" si="5"/>
        <v>106.88666666666666</v>
      </c>
      <c r="AE25" s="21">
        <f t="shared" si="5"/>
        <v>107.89333333333333</v>
      </c>
      <c r="AG25" s="21">
        <f t="shared" ref="AG25:AR25" si="6">$AF24+(AG2-$AF2)*($AS24-$AF24)/13</f>
        <v>113.86410256410255</v>
      </c>
      <c r="AH25" s="21">
        <f t="shared" si="6"/>
        <v>118.82820512820511</v>
      </c>
      <c r="AI25" s="21">
        <f t="shared" si="6"/>
        <v>123.79230769230767</v>
      </c>
      <c r="AJ25" s="21">
        <f t="shared" si="6"/>
        <v>128.75641025641025</v>
      </c>
      <c r="AK25" s="21">
        <f t="shared" si="6"/>
        <v>133.72051282051279</v>
      </c>
      <c r="AL25" s="21">
        <f t="shared" si="6"/>
        <v>138.68461538461537</v>
      </c>
      <c r="AM25" s="21">
        <f t="shared" si="6"/>
        <v>143.64871794871794</v>
      </c>
      <c r="AN25" s="21">
        <f t="shared" si="6"/>
        <v>148.61282051282049</v>
      </c>
      <c r="AO25" s="21">
        <f t="shared" si="6"/>
        <v>153.57692307692307</v>
      </c>
      <c r="AP25" s="21">
        <f t="shared" si="6"/>
        <v>158.54102564102561</v>
      </c>
      <c r="AQ25" s="21">
        <f t="shared" si="6"/>
        <v>163.50512820512819</v>
      </c>
      <c r="AR25" s="21">
        <f t="shared" si="6"/>
        <v>168.46923076923076</v>
      </c>
    </row>
    <row r="26" spans="1:56" s="21" customFormat="1" x14ac:dyDescent="0.25">
      <c r="A26" s="21">
        <v>12</v>
      </c>
      <c r="B26" s="21" t="s">
        <v>228</v>
      </c>
      <c r="C26" s="21">
        <v>0.98016372795969775</v>
      </c>
      <c r="D26" s="21">
        <v>0.97333741955255904</v>
      </c>
      <c r="E26" s="21">
        <v>0.9636739515652688</v>
      </c>
      <c r="F26" s="21">
        <v>0.96964490263459335</v>
      </c>
      <c r="G26" s="21">
        <v>0.97</v>
      </c>
      <c r="H26" s="21">
        <v>0.97428958051420844</v>
      </c>
      <c r="I26" s="21">
        <v>0.9834974713867447</v>
      </c>
      <c r="J26" s="21">
        <v>0.98479685452162513</v>
      </c>
      <c r="K26" s="21">
        <v>0.98629782833505686</v>
      </c>
      <c r="L26" s="21">
        <v>0.98572884811416916</v>
      </c>
      <c r="M26" s="21">
        <v>0.97660527625684423</v>
      </c>
      <c r="N26" s="21">
        <v>0.98649643997053771</v>
      </c>
      <c r="O26" s="21">
        <v>0.99389946315275746</v>
      </c>
      <c r="P26" s="21">
        <v>0.99490167516387473</v>
      </c>
    </row>
    <row r="27" spans="1:56" s="18" customFormat="1" x14ac:dyDescent="0.25">
      <c r="A27" s="18">
        <v>13</v>
      </c>
      <c r="B27" s="18" t="s">
        <v>229</v>
      </c>
      <c r="C27" s="18">
        <v>70.890847293032309</v>
      </c>
      <c r="D27" s="18">
        <v>72.325515901917953</v>
      </c>
      <c r="E27" s="18">
        <v>74.306724933236225</v>
      </c>
      <c r="F27" s="18">
        <v>77.107744598203439</v>
      </c>
      <c r="G27" s="18">
        <v>79.521631463947557</v>
      </c>
      <c r="H27" s="18">
        <v>81.981063364894396</v>
      </c>
      <c r="I27" s="18">
        <v>84.144452537023554</v>
      </c>
      <c r="J27" s="18">
        <v>85.556348628307845</v>
      </c>
      <c r="K27" s="18">
        <v>86.877154649186707</v>
      </c>
      <c r="L27" s="18">
        <v>88.084098082058759</v>
      </c>
      <c r="M27" s="18">
        <v>89.3593590677349</v>
      </c>
      <c r="N27" s="18">
        <v>91.49997572226269</v>
      </c>
      <c r="O27" s="18">
        <v>92.752464190337463</v>
      </c>
      <c r="P27" s="18">
        <v>93.321777130371444</v>
      </c>
      <c r="Q27" s="18">
        <v>93.8</v>
      </c>
      <c r="R27" s="18">
        <v>94.806666666666658</v>
      </c>
      <c r="S27" s="18">
        <v>95.813333333333333</v>
      </c>
      <c r="T27" s="18">
        <v>96.82</v>
      </c>
      <c r="U27" s="18">
        <v>97.826666666666668</v>
      </c>
      <c r="V27" s="18">
        <v>98.833333333333329</v>
      </c>
      <c r="W27" s="18">
        <v>99.839999999999989</v>
      </c>
      <c r="X27" s="18">
        <v>100.84666666666666</v>
      </c>
      <c r="Y27" s="18">
        <v>101.85333333333332</v>
      </c>
      <c r="Z27" s="18">
        <v>102.86</v>
      </c>
      <c r="AA27" s="18">
        <v>103.86666666666666</v>
      </c>
      <c r="AB27" s="18">
        <v>104.87333333333332</v>
      </c>
      <c r="AC27" s="18">
        <v>105.88</v>
      </c>
      <c r="AD27" s="18">
        <v>106.88666666666666</v>
      </c>
      <c r="AE27" s="18">
        <v>107.89333333333333</v>
      </c>
      <c r="AF27" s="18">
        <v>108.89999999999999</v>
      </c>
      <c r="AG27" s="18">
        <v>113.86410256410255</v>
      </c>
      <c r="AH27" s="18">
        <v>118.82820512820511</v>
      </c>
      <c r="AI27" s="18">
        <v>123.79230769230767</v>
      </c>
      <c r="AJ27" s="18">
        <v>128.75641025641025</v>
      </c>
      <c r="AK27" s="18">
        <v>133.72051282051279</v>
      </c>
      <c r="AL27" s="18">
        <v>138.68461538461537</v>
      </c>
      <c r="AM27" s="18">
        <v>143.64871794871794</v>
      </c>
      <c r="AN27" s="18">
        <v>148.61282051282049</v>
      </c>
      <c r="AO27" s="18">
        <v>153.57692307692307</v>
      </c>
      <c r="AP27" s="18">
        <v>158.54102564102561</v>
      </c>
      <c r="AQ27" s="18">
        <v>163.50512820512819</v>
      </c>
      <c r="AR27" s="18">
        <v>168.46923076923076</v>
      </c>
      <c r="AS27" s="18">
        <v>205.1</v>
      </c>
      <c r="AT27" s="18">
        <v>158.4</v>
      </c>
      <c r="AU27" s="18">
        <v>156.80000000000001</v>
      </c>
      <c r="AV27" s="18">
        <v>235.9</v>
      </c>
      <c r="AW27" s="18">
        <v>166.5</v>
      </c>
      <c r="AX27" s="18">
        <v>193.4</v>
      </c>
      <c r="AY27" s="18">
        <v>216.6</v>
      </c>
      <c r="AZ27" s="18">
        <f>AZ18</f>
        <v>189.4</v>
      </c>
      <c r="BA27" s="18">
        <f>BA18</f>
        <v>174.3</v>
      </c>
      <c r="BB27" s="18">
        <f>BB18</f>
        <v>178.3</v>
      </c>
      <c r="BC27" s="18">
        <f>BC18</f>
        <v>190.4</v>
      </c>
      <c r="BD27" s="18">
        <f>BD18</f>
        <v>221.81232901499999</v>
      </c>
    </row>
    <row r="28" spans="1:56" s="28" customFormat="1" x14ac:dyDescent="0.25">
      <c r="A28" s="28">
        <v>14</v>
      </c>
      <c r="B28" s="28" t="s">
        <v>230</v>
      </c>
      <c r="C28" s="28">
        <v>17.04</v>
      </c>
      <c r="D28" s="28">
        <v>17.04</v>
      </c>
      <c r="E28" s="28">
        <v>17.04</v>
      </c>
      <c r="F28" s="28">
        <v>17.04</v>
      </c>
      <c r="G28" s="28">
        <v>17.04</v>
      </c>
      <c r="H28" s="28">
        <v>17.04</v>
      </c>
      <c r="I28" s="28">
        <v>17.04</v>
      </c>
      <c r="J28" s="28">
        <v>17.04</v>
      </c>
      <c r="K28" s="28">
        <v>17.04</v>
      </c>
      <c r="L28" s="28">
        <v>17.04</v>
      </c>
      <c r="M28" s="28">
        <v>17.04</v>
      </c>
      <c r="N28" s="28">
        <v>17.04</v>
      </c>
      <c r="O28" s="28">
        <v>17.04</v>
      </c>
      <c r="P28" s="28">
        <v>17.04</v>
      </c>
      <c r="Q28" s="28">
        <v>17.04</v>
      </c>
      <c r="R28" s="28">
        <v>17.04</v>
      </c>
      <c r="S28" s="28">
        <v>17.04</v>
      </c>
      <c r="T28" s="28">
        <v>17.04</v>
      </c>
      <c r="U28" s="28">
        <v>17.04</v>
      </c>
      <c r="V28" s="28">
        <v>17.04</v>
      </c>
      <c r="W28" s="28">
        <v>17.04</v>
      </c>
      <c r="X28" s="28">
        <v>17.04</v>
      </c>
      <c r="Y28" s="28">
        <v>17.04</v>
      </c>
      <c r="Z28" s="28">
        <v>17.04</v>
      </c>
      <c r="AA28" s="28">
        <v>17.04</v>
      </c>
      <c r="AB28" s="28">
        <v>17.04</v>
      </c>
      <c r="AC28" s="28">
        <v>17.04</v>
      </c>
      <c r="AD28" s="28">
        <v>17.04</v>
      </c>
      <c r="AE28" s="28">
        <v>17.04</v>
      </c>
      <c r="AF28" s="28">
        <v>17.04</v>
      </c>
      <c r="AG28" s="28">
        <v>17.04</v>
      </c>
      <c r="AH28" s="28">
        <v>17.04</v>
      </c>
      <c r="AI28" s="28">
        <v>17.04</v>
      </c>
      <c r="AJ28" s="28">
        <v>17.04</v>
      </c>
      <c r="AK28" s="28">
        <v>17.04</v>
      </c>
      <c r="AL28" s="28">
        <v>17.04</v>
      </c>
      <c r="AM28" s="28">
        <v>17.04</v>
      </c>
      <c r="AN28" s="28">
        <v>17.04</v>
      </c>
      <c r="AO28" s="28">
        <v>17.04</v>
      </c>
      <c r="AP28" s="28">
        <v>17.04</v>
      </c>
      <c r="AQ28" s="28">
        <v>17.04</v>
      </c>
      <c r="AR28" s="28">
        <v>17.04</v>
      </c>
      <c r="AS28" s="28">
        <v>17.04</v>
      </c>
      <c r="AT28" s="28">
        <v>17.04</v>
      </c>
      <c r="AU28" s="28">
        <v>17.04</v>
      </c>
      <c r="AV28" s="28">
        <v>17.04</v>
      </c>
      <c r="AW28" s="28">
        <v>17.04</v>
      </c>
      <c r="AX28" s="28">
        <v>17.04</v>
      </c>
      <c r="AY28" s="28">
        <v>17.04</v>
      </c>
      <c r="AZ28" s="28">
        <v>17.04</v>
      </c>
      <c r="BA28" s="28">
        <v>17.04</v>
      </c>
      <c r="BB28" s="28">
        <v>17.04</v>
      </c>
      <c r="BC28" s="28">
        <v>17.04</v>
      </c>
      <c r="BD28" s="28">
        <v>17.04</v>
      </c>
    </row>
    <row r="29" spans="1:56" s="21" customFormat="1" x14ac:dyDescent="0.25">
      <c r="A29" s="28">
        <v>15</v>
      </c>
      <c r="B29" s="21" t="s">
        <v>231</v>
      </c>
      <c r="C29" s="21">
        <f>C27*C28</f>
        <v>1207.9800378732705</v>
      </c>
      <c r="D29" s="21">
        <f t="shared" ref="D29:BB29" si="7">D27*D28</f>
        <v>1232.4267909686819</v>
      </c>
      <c r="E29" s="21">
        <f t="shared" si="7"/>
        <v>1266.1865928623452</v>
      </c>
      <c r="F29" s="21">
        <f t="shared" si="7"/>
        <v>1313.9159679533866</v>
      </c>
      <c r="G29" s="21">
        <f t="shared" si="7"/>
        <v>1355.0486001456663</v>
      </c>
      <c r="H29" s="21">
        <f t="shared" si="7"/>
        <v>1396.9573197378004</v>
      </c>
      <c r="I29" s="21">
        <f t="shared" si="7"/>
        <v>1433.8214712308813</v>
      </c>
      <c r="J29" s="21">
        <f t="shared" si="7"/>
        <v>1457.8801806263657</v>
      </c>
      <c r="K29" s="21">
        <f t="shared" si="7"/>
        <v>1480.3867152221414</v>
      </c>
      <c r="L29" s="21">
        <f t="shared" si="7"/>
        <v>1500.9530313182811</v>
      </c>
      <c r="M29" s="21">
        <f t="shared" si="7"/>
        <v>1522.6834785142025</v>
      </c>
      <c r="N29" s="21">
        <f t="shared" si="7"/>
        <v>1559.1595863073562</v>
      </c>
      <c r="O29" s="21">
        <f t="shared" si="7"/>
        <v>1580.5019898033504</v>
      </c>
      <c r="P29" s="21">
        <f t="shared" si="7"/>
        <v>1590.2030823015293</v>
      </c>
      <c r="Q29" s="21">
        <f t="shared" si="7"/>
        <v>1598.3519999999999</v>
      </c>
      <c r="R29" s="21">
        <f t="shared" si="7"/>
        <v>1615.5055999999997</v>
      </c>
      <c r="S29" s="21">
        <f t="shared" si="7"/>
        <v>1632.6591999999998</v>
      </c>
      <c r="T29" s="21">
        <f t="shared" si="7"/>
        <v>1649.8127999999997</v>
      </c>
      <c r="U29" s="21">
        <f t="shared" si="7"/>
        <v>1666.9664</v>
      </c>
      <c r="V29" s="21">
        <f t="shared" si="7"/>
        <v>1684.12</v>
      </c>
      <c r="W29" s="21">
        <f t="shared" si="7"/>
        <v>1701.2735999999998</v>
      </c>
      <c r="X29" s="21">
        <f t="shared" si="7"/>
        <v>1718.4271999999999</v>
      </c>
      <c r="Y29" s="21">
        <f t="shared" si="7"/>
        <v>1735.5807999999997</v>
      </c>
      <c r="Z29" s="21">
        <f t="shared" si="7"/>
        <v>1752.7343999999998</v>
      </c>
      <c r="AA29" s="21">
        <f t="shared" si="7"/>
        <v>1769.8879999999997</v>
      </c>
      <c r="AB29" s="21">
        <f t="shared" si="7"/>
        <v>1787.0415999999998</v>
      </c>
      <c r="AC29" s="21">
        <f t="shared" si="7"/>
        <v>1804.1951999999999</v>
      </c>
      <c r="AD29" s="21">
        <f t="shared" si="7"/>
        <v>1821.3487999999998</v>
      </c>
      <c r="AE29" s="21">
        <f t="shared" si="7"/>
        <v>1838.5023999999999</v>
      </c>
      <c r="AF29" s="21">
        <f t="shared" si="7"/>
        <v>1855.6559999999997</v>
      </c>
      <c r="AG29" s="21">
        <f t="shared" si="7"/>
        <v>1940.2443076923073</v>
      </c>
      <c r="AH29" s="21">
        <f t="shared" si="7"/>
        <v>2024.8326153846151</v>
      </c>
      <c r="AI29" s="21">
        <f t="shared" si="7"/>
        <v>2109.4209230769225</v>
      </c>
      <c r="AJ29" s="21">
        <f t="shared" si="7"/>
        <v>2194.0092307692307</v>
      </c>
      <c r="AK29" s="21">
        <f t="shared" si="7"/>
        <v>2278.5975384615381</v>
      </c>
      <c r="AL29" s="21">
        <f t="shared" si="7"/>
        <v>2363.1858461538459</v>
      </c>
      <c r="AM29" s="21">
        <f t="shared" si="7"/>
        <v>2447.7741538461537</v>
      </c>
      <c r="AN29" s="21">
        <f t="shared" si="7"/>
        <v>2532.362461538461</v>
      </c>
      <c r="AO29" s="21">
        <f t="shared" si="7"/>
        <v>2616.9507692307689</v>
      </c>
      <c r="AP29" s="21">
        <f t="shared" si="7"/>
        <v>2701.5390769230762</v>
      </c>
      <c r="AQ29" s="21">
        <f t="shared" si="7"/>
        <v>2786.127384615384</v>
      </c>
      <c r="AR29" s="21">
        <f t="shared" si="7"/>
        <v>2870.7156923076918</v>
      </c>
      <c r="AS29" s="21">
        <f t="shared" si="7"/>
        <v>3494.9039999999995</v>
      </c>
      <c r="AT29" s="21">
        <f t="shared" si="7"/>
        <v>2699.136</v>
      </c>
      <c r="AU29" s="21">
        <f t="shared" si="7"/>
        <v>2671.8719999999998</v>
      </c>
      <c r="AV29" s="21">
        <f t="shared" si="7"/>
        <v>4019.7359999999999</v>
      </c>
      <c r="AW29" s="21">
        <f t="shared" si="7"/>
        <v>2837.16</v>
      </c>
      <c r="AX29" s="21">
        <f t="shared" si="7"/>
        <v>3295.5360000000001</v>
      </c>
      <c r="AY29" s="21">
        <f t="shared" si="7"/>
        <v>3690.8639999999996</v>
      </c>
      <c r="AZ29" s="21">
        <f t="shared" si="7"/>
        <v>3227.3759999999997</v>
      </c>
      <c r="BA29" s="21">
        <f t="shared" si="7"/>
        <v>2970.0720000000001</v>
      </c>
      <c r="BB29" s="21">
        <f t="shared" si="7"/>
        <v>3038.232</v>
      </c>
      <c r="BC29" s="21">
        <f>BC27*BC28</f>
        <v>3244.4159999999997</v>
      </c>
      <c r="BD29" s="21">
        <f>BD27*BD28</f>
        <v>3779.6820864155998</v>
      </c>
    </row>
    <row r="30" spans="1:56" s="38" customFormat="1" x14ac:dyDescent="0.25"/>
    <row r="31" spans="1:56" x14ac:dyDescent="0.25">
      <c r="A31" s="125" t="s">
        <v>31</v>
      </c>
      <c r="B31" s="125"/>
    </row>
    <row r="32" spans="1:56" x14ac:dyDescent="0.25">
      <c r="A32" s="79">
        <v>1</v>
      </c>
      <c r="B32" s="14" t="s">
        <v>232</v>
      </c>
    </row>
    <row r="33" spans="1:55" x14ac:dyDescent="0.25">
      <c r="A33" s="80" t="s">
        <v>233</v>
      </c>
      <c r="B33" s="14" t="s">
        <v>234</v>
      </c>
      <c r="AV33" s="81" t="s">
        <v>235</v>
      </c>
      <c r="AW33" s="81"/>
      <c r="AX33" s="81"/>
      <c r="AZ33" s="82" t="s">
        <v>236</v>
      </c>
      <c r="BA33" s="83"/>
      <c r="BB33" s="83"/>
      <c r="BC33" s="83"/>
    </row>
    <row r="34" spans="1:55" x14ac:dyDescent="0.25">
      <c r="A34" s="79">
        <v>10</v>
      </c>
      <c r="B34" s="14" t="s">
        <v>237</v>
      </c>
      <c r="AX34" s="14" t="s">
        <v>238</v>
      </c>
    </row>
    <row r="35" spans="1:55" x14ac:dyDescent="0.25">
      <c r="A35" s="79">
        <v>11</v>
      </c>
      <c r="B35" s="14" t="s">
        <v>106</v>
      </c>
      <c r="AX35" s="14" t="s">
        <v>239</v>
      </c>
      <c r="AY35" s="14">
        <v>1493011</v>
      </c>
      <c r="AZ35" s="56" t="s">
        <v>240</v>
      </c>
    </row>
    <row r="36" spans="1:55" x14ac:dyDescent="0.25">
      <c r="A36" s="79">
        <v>12</v>
      </c>
      <c r="B36" s="14" t="s">
        <v>204</v>
      </c>
    </row>
    <row r="37" spans="1:55" x14ac:dyDescent="0.25">
      <c r="A37" s="79">
        <v>13</v>
      </c>
      <c r="B37" s="14" t="s">
        <v>241</v>
      </c>
    </row>
    <row r="38" spans="1:55" x14ac:dyDescent="0.25">
      <c r="A38" s="79">
        <v>14</v>
      </c>
      <c r="B38" s="14" t="s">
        <v>242</v>
      </c>
    </row>
    <row r="39" spans="1:55" x14ac:dyDescent="0.25">
      <c r="A39" s="79">
        <v>15</v>
      </c>
      <c r="B39" s="14" t="s">
        <v>243</v>
      </c>
    </row>
    <row r="45" spans="1:55" ht="14" x14ac:dyDescent="0.3">
      <c r="A45" s="125" t="s">
        <v>157</v>
      </c>
      <c r="B45" s="130"/>
    </row>
    <row r="46" spans="1:55" ht="41" customHeight="1" x14ac:dyDescent="0.25">
      <c r="A46" s="131" t="s">
        <v>244</v>
      </c>
      <c r="B46" s="131"/>
      <c r="C46" s="131"/>
      <c r="D46" s="131"/>
      <c r="E46" s="131"/>
      <c r="F46" s="131"/>
    </row>
    <row r="49" spans="1:11" ht="14" x14ac:dyDescent="0.3">
      <c r="A49" s="125" t="s">
        <v>159</v>
      </c>
      <c r="B49" s="130"/>
    </row>
    <row r="50" spans="1:11" ht="325.5" customHeight="1" x14ac:dyDescent="0.25">
      <c r="A50" s="138" t="s">
        <v>245</v>
      </c>
      <c r="B50" s="137"/>
      <c r="C50" s="137"/>
      <c r="D50" s="137"/>
      <c r="E50" s="137"/>
      <c r="F50" s="137"/>
      <c r="G50" s="62"/>
      <c r="H50" s="62"/>
      <c r="I50" s="62"/>
      <c r="J50" s="62"/>
      <c r="K50" s="62"/>
    </row>
    <row r="53" spans="1:11" ht="14" x14ac:dyDescent="0.3">
      <c r="A53" s="125" t="s">
        <v>161</v>
      </c>
      <c r="B53" s="130"/>
    </row>
    <row r="54" spans="1:11" ht="78" customHeight="1" x14ac:dyDescent="0.25">
      <c r="A54" s="133"/>
      <c r="B54" s="136"/>
      <c r="C54" s="136"/>
      <c r="D54" s="136"/>
      <c r="E54" s="136"/>
      <c r="F54" s="136"/>
      <c r="G54" s="136"/>
      <c r="H54" s="136"/>
      <c r="I54" s="136"/>
      <c r="J54" s="136"/>
      <c r="K54" s="136"/>
    </row>
    <row r="56" spans="1:11" ht="14" x14ac:dyDescent="0.3">
      <c r="A56" s="125" t="s">
        <v>162</v>
      </c>
      <c r="B56" s="130"/>
    </row>
    <row r="57" spans="1:11" ht="284" customHeight="1" x14ac:dyDescent="0.25">
      <c r="A57" s="133" t="s">
        <v>246</v>
      </c>
      <c r="B57" s="133"/>
      <c r="C57" s="133"/>
      <c r="D57" s="133"/>
      <c r="E57" s="133"/>
      <c r="F57" s="133"/>
      <c r="G57" s="133"/>
      <c r="H57" s="133"/>
      <c r="I57" s="133"/>
      <c r="J57" s="133"/>
      <c r="K57" s="133"/>
    </row>
    <row r="59" spans="1:11" customFormat="1" x14ac:dyDescent="0.3"/>
    <row r="60" spans="1:11" customFormat="1" x14ac:dyDescent="0.3"/>
    <row r="61" spans="1:11" customFormat="1" ht="107" customHeight="1" x14ac:dyDescent="0.3"/>
    <row r="62" spans="1:11" customFormat="1" x14ac:dyDescent="0.3"/>
    <row r="63" spans="1:11" customFormat="1" x14ac:dyDescent="0.3"/>
    <row r="64" spans="1:11" customFormat="1" ht="15.75" customHeigh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sheetData>
  <mergeCells count="11">
    <mergeCell ref="A49:B49"/>
    <mergeCell ref="A6:B6"/>
    <mergeCell ref="A14:B14"/>
    <mergeCell ref="A31:B31"/>
    <mergeCell ref="A45:B45"/>
    <mergeCell ref="A46:F46"/>
    <mergeCell ref="A50:F50"/>
    <mergeCell ref="A53:B53"/>
    <mergeCell ref="A54:K54"/>
    <mergeCell ref="A56:B56"/>
    <mergeCell ref="A57:K57"/>
  </mergeCells>
  <pageMargins left="0.75000000000000011" right="0.75000000000000011" top="1" bottom="1" header="0.5" footer="0.5"/>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6"/>
  <sheetViews>
    <sheetView zoomScale="80" zoomScaleNormal="80" workbookViewId="0">
      <pane xSplit="2" ySplit="2" topLeftCell="G25" activePane="bottomRight" state="frozen"/>
      <selection activeCell="A42" sqref="A42:F42"/>
      <selection pane="topRight" activeCell="A42" sqref="A42:F42"/>
      <selection pane="bottomLeft" activeCell="A42" sqref="A42:F42"/>
      <selection pane="bottomRight" activeCell="G52" sqref="G52"/>
    </sheetView>
  </sheetViews>
  <sheetFormatPr defaultColWidth="11" defaultRowHeight="13.5" x14ac:dyDescent="0.25"/>
  <cols>
    <col min="1" max="1" width="10.53515625" style="14" customWidth="1"/>
    <col min="2" max="2" width="72.3828125" style="14" customWidth="1"/>
    <col min="3" max="56" width="15.53515625" style="14" customWidth="1"/>
    <col min="57" max="16384" width="11" style="14"/>
  </cols>
  <sheetData>
    <row r="1" spans="1:56" s="3" customFormat="1" ht="18" thickBot="1" x14ac:dyDescent="0.4">
      <c r="A1" s="2" t="s">
        <v>247</v>
      </c>
      <c r="B1" s="2"/>
      <c r="C1" s="2"/>
      <c r="D1" s="2"/>
      <c r="E1" s="2"/>
    </row>
    <row r="2" spans="1:56" s="7" customFormat="1" ht="14" thickTop="1" x14ac:dyDescent="0.25">
      <c r="B2" s="6" t="s">
        <v>57</v>
      </c>
      <c r="C2" s="7">
        <v>1960</v>
      </c>
      <c r="D2" s="7">
        <v>1961</v>
      </c>
      <c r="E2" s="7">
        <v>1962</v>
      </c>
      <c r="F2" s="7">
        <v>1963</v>
      </c>
      <c r="G2" s="7">
        <v>1964</v>
      </c>
      <c r="H2" s="7">
        <v>1965</v>
      </c>
      <c r="I2" s="7">
        <v>1966</v>
      </c>
      <c r="J2" s="7">
        <v>1967</v>
      </c>
      <c r="K2" s="7">
        <v>1968</v>
      </c>
      <c r="L2" s="7">
        <v>1969</v>
      </c>
      <c r="M2" s="7">
        <v>1970</v>
      </c>
      <c r="N2" s="7">
        <v>1971</v>
      </c>
      <c r="O2" s="7">
        <v>1972</v>
      </c>
      <c r="P2" s="7">
        <v>1973</v>
      </c>
      <c r="Q2" s="7">
        <v>1974</v>
      </c>
      <c r="R2" s="7">
        <v>1975</v>
      </c>
      <c r="S2" s="7">
        <v>1976</v>
      </c>
      <c r="T2" s="7">
        <v>1977</v>
      </c>
      <c r="U2" s="7">
        <v>1978</v>
      </c>
      <c r="V2" s="7">
        <v>1979</v>
      </c>
      <c r="W2" s="7">
        <v>1980</v>
      </c>
      <c r="X2" s="7">
        <v>1981</v>
      </c>
      <c r="Y2" s="7">
        <v>1982</v>
      </c>
      <c r="Z2" s="7">
        <v>1983</v>
      </c>
      <c r="AA2" s="7">
        <v>1984</v>
      </c>
      <c r="AB2" s="7">
        <v>1985</v>
      </c>
      <c r="AC2" s="7">
        <v>1986</v>
      </c>
      <c r="AD2" s="7">
        <v>1987</v>
      </c>
      <c r="AE2" s="7">
        <v>1988</v>
      </c>
      <c r="AF2" s="7">
        <v>1989</v>
      </c>
      <c r="AG2" s="7">
        <v>1990</v>
      </c>
      <c r="AH2" s="7">
        <v>1991</v>
      </c>
      <c r="AI2" s="7">
        <v>1992</v>
      </c>
      <c r="AJ2" s="7">
        <v>1993</v>
      </c>
      <c r="AK2" s="7">
        <v>1994</v>
      </c>
      <c r="AL2" s="7">
        <v>1995</v>
      </c>
      <c r="AM2" s="7">
        <v>1996</v>
      </c>
      <c r="AN2" s="7">
        <v>1997</v>
      </c>
      <c r="AO2" s="7">
        <v>1998</v>
      </c>
      <c r="AP2" s="7">
        <v>1999</v>
      </c>
      <c r="AQ2" s="7">
        <v>2000</v>
      </c>
      <c r="AR2" s="7">
        <v>2001</v>
      </c>
      <c r="AS2" s="7">
        <v>2002</v>
      </c>
      <c r="AT2" s="7">
        <v>2003</v>
      </c>
      <c r="AU2" s="7">
        <v>2004</v>
      </c>
      <c r="AV2" s="7">
        <v>2005</v>
      </c>
      <c r="AW2" s="7">
        <v>2006</v>
      </c>
      <c r="AX2" s="7">
        <v>2007</v>
      </c>
      <c r="AY2" s="7">
        <v>2008</v>
      </c>
      <c r="AZ2" s="7">
        <v>2009</v>
      </c>
      <c r="BA2" s="7">
        <v>2010</v>
      </c>
      <c r="BB2" s="7">
        <v>2011</v>
      </c>
      <c r="BC2" s="7">
        <v>2012</v>
      </c>
      <c r="BD2" s="7">
        <v>2013</v>
      </c>
    </row>
    <row r="3" spans="1:56" s="60" customFormat="1" x14ac:dyDescent="0.25">
      <c r="A3" s="13">
        <v>1</v>
      </c>
      <c r="B3" s="60" t="s">
        <v>248</v>
      </c>
      <c r="C3" s="60">
        <v>0.2088979358837019</v>
      </c>
      <c r="D3" s="60">
        <v>0.19315321270357158</v>
      </c>
      <c r="E3" s="60">
        <v>0.18279821945212554</v>
      </c>
      <c r="F3" s="60">
        <v>0.16519311120551999</v>
      </c>
      <c r="G3" s="60">
        <v>0.14896362553135317</v>
      </c>
      <c r="H3" s="60">
        <v>0.12882811097784289</v>
      </c>
      <c r="I3" s="60">
        <v>0.10429389586919496</v>
      </c>
      <c r="J3" s="60">
        <v>7.3506762710479581E-2</v>
      </c>
      <c r="K3" s="60">
        <v>3.9131378321134974E-2</v>
      </c>
      <c r="L3" s="60">
        <v>0</v>
      </c>
      <c r="M3" s="60">
        <v>4.4587452319075425E-2</v>
      </c>
      <c r="N3" s="60">
        <v>9.2873375090192778E-2</v>
      </c>
      <c r="O3" s="60">
        <v>0.14840805641095664</v>
      </c>
      <c r="P3" s="60">
        <v>0.2073680602673757</v>
      </c>
      <c r="Q3" s="60">
        <v>0.53944765143652307</v>
      </c>
      <c r="R3" s="60">
        <v>0.84829014039135431</v>
      </c>
      <c r="S3" s="60">
        <v>1.2254389397067191</v>
      </c>
      <c r="T3" s="60">
        <v>1.6495748370724748</v>
      </c>
      <c r="U3" s="60">
        <v>2.1516445651293861</v>
      </c>
      <c r="V3" s="60">
        <v>2.5818570681636404</v>
      </c>
      <c r="W3" s="60">
        <v>2.6327865685033016</v>
      </c>
      <c r="X3" s="60">
        <v>2.7181124455068115</v>
      </c>
      <c r="Y3" s="60">
        <v>2.824263227804034</v>
      </c>
      <c r="Z3" s="60">
        <v>3.0546262271138676</v>
      </c>
      <c r="AA3" s="60">
        <v>3.4374855121887049</v>
      </c>
      <c r="AB3" s="60">
        <v>3.7385293737460361</v>
      </c>
      <c r="AC3" s="60">
        <v>4.1073609940128462</v>
      </c>
      <c r="AD3" s="60">
        <v>4.4267438347783079</v>
      </c>
      <c r="AE3" s="60">
        <v>4.766188769552171</v>
      </c>
      <c r="AF3" s="60">
        <v>5.0703444697690321</v>
      </c>
      <c r="AG3" s="60">
        <v>5.2840752173180761</v>
      </c>
      <c r="AH3" s="60">
        <v>5.3454777328343983</v>
      </c>
      <c r="AI3" s="60">
        <v>5.5932715122760239</v>
      </c>
      <c r="AJ3" s="60">
        <v>5.7756972503593946</v>
      </c>
      <c r="AK3" s="60">
        <v>6.1133859792492586</v>
      </c>
      <c r="AL3" s="60">
        <v>6.3822679128525381</v>
      </c>
      <c r="AM3" s="60">
        <v>6.7297108529672087</v>
      </c>
      <c r="AN3" s="60">
        <v>7.1614454833457897</v>
      </c>
      <c r="AO3" s="60">
        <v>7.7027184571288849</v>
      </c>
      <c r="AP3" s="60">
        <v>8.1982452564874215</v>
      </c>
      <c r="AQ3" s="60">
        <v>8.8447651044176574</v>
      </c>
      <c r="AR3" s="60">
        <v>9.1763247099515102</v>
      </c>
      <c r="AS3" s="60">
        <v>9.5626555115856391</v>
      </c>
      <c r="AT3" s="60">
        <v>9.7465638105088317</v>
      </c>
      <c r="AU3" s="60">
        <v>10.297742100528694</v>
      </c>
      <c r="AV3" s="60">
        <v>10.816533503849056</v>
      </c>
      <c r="AW3" s="60">
        <v>11.396709759544107</v>
      </c>
      <c r="AX3" s="60">
        <v>11.951557029519636</v>
      </c>
      <c r="AY3" s="60">
        <v>11.998954952197627</v>
      </c>
      <c r="AZ3" s="9">
        <v>12.276771190349258</v>
      </c>
      <c r="BA3" s="60">
        <f>BA16</f>
        <v>12.652280501341961</v>
      </c>
      <c r="BB3" s="60">
        <f>BB16</f>
        <v>12.855804157972807</v>
      </c>
      <c r="BC3" s="60">
        <f>BC16</f>
        <v>13.299099252145449</v>
      </c>
      <c r="BD3" s="60">
        <f>BD16</f>
        <v>13.204824280405093</v>
      </c>
    </row>
    <row r="4" spans="1:56" s="84" customFormat="1" x14ac:dyDescent="0.25">
      <c r="A4" s="13">
        <v>2</v>
      </c>
      <c r="B4" s="84" t="s">
        <v>249</v>
      </c>
      <c r="C4" s="84">
        <v>24.171525037384527</v>
      </c>
      <c r="D4" s="84">
        <v>21.475049987397597</v>
      </c>
      <c r="E4" s="84">
        <v>18.781268718679257</v>
      </c>
      <c r="F4" s="84">
        <v>16.090178540139277</v>
      </c>
      <c r="G4" s="84">
        <v>13.401776763376347</v>
      </c>
      <c r="H4" s="84">
        <v>10.716060702673985</v>
      </c>
      <c r="I4" s="84">
        <v>8.0330276749991754</v>
      </c>
      <c r="J4" s="84">
        <v>5.3526749999996355</v>
      </c>
      <c r="K4" s="84">
        <v>2.6749999999997272</v>
      </c>
      <c r="L4" s="84">
        <v>0</v>
      </c>
      <c r="M4" s="84">
        <v>2.75</v>
      </c>
      <c r="N4" s="84">
        <v>5.5</v>
      </c>
      <c r="O4" s="84">
        <v>8.25</v>
      </c>
      <c r="P4" s="84">
        <v>11</v>
      </c>
      <c r="Q4" s="84">
        <v>29</v>
      </c>
      <c r="R4" s="84">
        <v>47</v>
      </c>
      <c r="S4" s="84">
        <v>65</v>
      </c>
      <c r="T4" s="84">
        <v>83</v>
      </c>
      <c r="U4" s="84">
        <v>101</v>
      </c>
      <c r="V4" s="84">
        <v>119</v>
      </c>
      <c r="W4" s="84">
        <v>122</v>
      </c>
      <c r="X4" s="84">
        <v>125</v>
      </c>
      <c r="Y4" s="84">
        <v>128</v>
      </c>
      <c r="Z4" s="84">
        <v>131</v>
      </c>
      <c r="AA4" s="84">
        <v>134</v>
      </c>
      <c r="AB4" s="84">
        <v>137</v>
      </c>
      <c r="AC4" s="84">
        <v>140</v>
      </c>
      <c r="AD4" s="84">
        <v>143</v>
      </c>
      <c r="AE4" s="84">
        <v>146</v>
      </c>
      <c r="AF4" s="84">
        <v>149</v>
      </c>
      <c r="AG4" s="84">
        <v>154.19999999999982</v>
      </c>
      <c r="AH4" s="84">
        <v>159.39999999999964</v>
      </c>
      <c r="AI4" s="84">
        <v>164.59999999999945</v>
      </c>
      <c r="AJ4" s="84">
        <v>169.79999999999927</v>
      </c>
      <c r="AK4" s="84">
        <v>174.99999999999909</v>
      </c>
      <c r="AL4" s="84">
        <v>180.19999999999891</v>
      </c>
      <c r="AM4" s="84">
        <v>185.39999999999873</v>
      </c>
      <c r="AN4" s="84">
        <v>190.59999999999854</v>
      </c>
      <c r="AO4" s="84">
        <v>195.79999999999836</v>
      </c>
      <c r="AP4" s="84">
        <v>200.99999999999818</v>
      </c>
      <c r="AQ4" s="84">
        <v>206.199999999998</v>
      </c>
      <c r="AR4" s="84">
        <v>211.39999999999782</v>
      </c>
      <c r="AS4" s="84">
        <v>216.59999999999764</v>
      </c>
      <c r="AT4" s="84">
        <v>219.79999999999745</v>
      </c>
      <c r="AU4" s="84">
        <v>222.99999999999727</v>
      </c>
      <c r="AV4" s="84">
        <v>226.19999999999709</v>
      </c>
      <c r="AW4" s="84">
        <v>229.39999999999691</v>
      </c>
      <c r="AX4" s="84">
        <v>232.59999999999673</v>
      </c>
      <c r="AY4" s="84">
        <v>235.79999999999654</v>
      </c>
      <c r="AZ4" s="84">
        <v>239</v>
      </c>
      <c r="BA4" s="84">
        <f>BA24</f>
        <v>242.19999999999618</v>
      </c>
      <c r="BB4" s="84">
        <f>BB24</f>
        <v>245.399999999996</v>
      </c>
      <c r="BC4" s="84">
        <f>BC24</f>
        <v>248.59999999999582</v>
      </c>
      <c r="BD4" s="84">
        <f>BD24</f>
        <v>251.79999999999563</v>
      </c>
    </row>
    <row r="5" spans="1:56" s="51" customFormat="1" x14ac:dyDescent="0.25">
      <c r="A5" s="13">
        <v>3</v>
      </c>
      <c r="B5" s="51" t="s">
        <v>250</v>
      </c>
      <c r="C5" s="51">
        <v>31796039.722559083</v>
      </c>
      <c r="D5" s="51">
        <v>28508170.198832024</v>
      </c>
      <c r="E5" s="51">
        <v>25895950.640155882</v>
      </c>
      <c r="F5" s="51">
        <v>22980104.144966569</v>
      </c>
      <c r="G5" s="51">
        <v>19829071.707188364</v>
      </c>
      <c r="H5" s="51">
        <v>16448833.943807082</v>
      </c>
      <c r="I5" s="51">
        <v>12735208.362399757</v>
      </c>
      <c r="J5" s="51">
        <v>8628283.7533584256</v>
      </c>
      <c r="K5" s="51">
        <v>4386350.2723918455</v>
      </c>
      <c r="L5" s="51">
        <v>0</v>
      </c>
      <c r="M5" s="51">
        <v>4584587.3370386576</v>
      </c>
      <c r="N5" s="51">
        <v>9304428.7638497408</v>
      </c>
      <c r="O5" s="51">
        <v>14186182.750034207</v>
      </c>
      <c r="P5" s="51">
        <v>19151517.744326632</v>
      </c>
      <c r="Q5" s="51">
        <v>50429769.30635111</v>
      </c>
      <c r="R5" s="51">
        <v>79973960.580415219</v>
      </c>
      <c r="S5" s="51">
        <v>111746933.78108928</v>
      </c>
      <c r="T5" s="51">
        <v>147630002.46325809</v>
      </c>
      <c r="U5" s="51">
        <v>187675966.64238489</v>
      </c>
      <c r="V5" s="51">
        <v>226933720.00039986</v>
      </c>
      <c r="W5" s="51">
        <v>234239113.17180204</v>
      </c>
      <c r="X5" s="51">
        <v>240913032.00807646</v>
      </c>
      <c r="Y5" s="51">
        <v>245930193.80278295</v>
      </c>
      <c r="Z5" s="51">
        <v>256324026.91359395</v>
      </c>
      <c r="AA5" s="51">
        <v>272990209.45174247</v>
      </c>
      <c r="AB5" s="51">
        <v>284665724.15048897</v>
      </c>
      <c r="AC5" s="51">
        <v>300949436.55980766</v>
      </c>
      <c r="AD5" s="51">
        <v>316235603.30314386</v>
      </c>
      <c r="AE5" s="51">
        <v>330901394.67373002</v>
      </c>
      <c r="AF5" s="51">
        <v>346772958.50180292</v>
      </c>
      <c r="AG5" s="51">
        <v>365048485.57369077</v>
      </c>
      <c r="AH5" s="51">
        <v>377366504.10318059</v>
      </c>
      <c r="AI5" s="51">
        <v>392676115.18596846</v>
      </c>
      <c r="AJ5" s="51">
        <v>407806354.64896041</v>
      </c>
      <c r="AK5" s="51">
        <v>427701564.5737865</v>
      </c>
      <c r="AL5" s="51">
        <v>445144926.60170466</v>
      </c>
      <c r="AM5" s="51">
        <v>465596748.52027035</v>
      </c>
      <c r="AN5" s="51">
        <v>484327153.57697707</v>
      </c>
      <c r="AO5" s="51">
        <v>500236748.39826983</v>
      </c>
      <c r="AP5" s="51">
        <v>518864076.03701413</v>
      </c>
      <c r="AQ5" s="51">
        <v>536922467.23058391</v>
      </c>
      <c r="AR5" s="51">
        <v>550581282.15585721</v>
      </c>
      <c r="AS5" s="51">
        <v>568482153.90918279</v>
      </c>
      <c r="AT5" s="51">
        <v>578564925.3560313</v>
      </c>
      <c r="AU5" s="51">
        <v>591242120.28443563</v>
      </c>
      <c r="AV5" s="51">
        <v>610719378.50865865</v>
      </c>
      <c r="AW5" s="51">
        <v>632331064.89424479</v>
      </c>
      <c r="AX5" s="51">
        <v>643979377.62196553</v>
      </c>
      <c r="AY5" s="51">
        <v>648864228.88519561</v>
      </c>
      <c r="AZ5" s="51">
        <v>637332718.85086095</v>
      </c>
      <c r="BA5" s="51">
        <f>BA28</f>
        <v>644209801.49398983</v>
      </c>
      <c r="BB5" s="51">
        <f>BB28</f>
        <v>658934093.18158925</v>
      </c>
      <c r="BC5" s="51">
        <f>BC28</f>
        <v>682355015.50258851</v>
      </c>
      <c r="BD5" s="51">
        <f>BD28</f>
        <v>689105214.69998801</v>
      </c>
    </row>
    <row r="7" spans="1:56" x14ac:dyDescent="0.25">
      <c r="A7" s="125" t="s">
        <v>5</v>
      </c>
      <c r="B7" s="125"/>
    </row>
    <row r="8" spans="1:56" x14ac:dyDescent="0.25">
      <c r="A8" s="14">
        <v>1</v>
      </c>
      <c r="B8" s="14" t="s">
        <v>251</v>
      </c>
    </row>
    <row r="9" spans="1:56" x14ac:dyDescent="0.25">
      <c r="A9" s="14">
        <v>2</v>
      </c>
      <c r="B9" s="14" t="s">
        <v>252</v>
      </c>
    </row>
    <row r="10" spans="1:56" x14ac:dyDescent="0.25">
      <c r="A10" s="14">
        <v>3</v>
      </c>
      <c r="B10" s="14" t="s">
        <v>253</v>
      </c>
    </row>
    <row r="11" spans="1:56" x14ac:dyDescent="0.25">
      <c r="A11" s="14">
        <v>4</v>
      </c>
      <c r="B11" s="14" t="s">
        <v>254</v>
      </c>
    </row>
    <row r="12" spans="1:56" x14ac:dyDescent="0.25">
      <c r="A12" s="14">
        <v>5</v>
      </c>
      <c r="B12" s="14" t="s">
        <v>255</v>
      </c>
    </row>
    <row r="15" spans="1:56" ht="14" x14ac:dyDescent="0.3">
      <c r="A15" s="125" t="s">
        <v>10</v>
      </c>
      <c r="B15" s="130"/>
    </row>
    <row r="16" spans="1:56" s="18" customFormat="1" x14ac:dyDescent="0.25">
      <c r="A16" s="18">
        <v>1</v>
      </c>
      <c r="B16" s="18" t="s">
        <v>248</v>
      </c>
      <c r="C16" s="18">
        <f>C29*C28/1000000000</f>
        <v>0.2088979358837019</v>
      </c>
      <c r="D16" s="18">
        <f t="shared" ref="D16:K16" si="0">D29*D28/1000000000</f>
        <v>0.19315321270357158</v>
      </c>
      <c r="E16" s="18">
        <f t="shared" si="0"/>
        <v>0.18279821945212554</v>
      </c>
      <c r="F16" s="18">
        <f t="shared" si="0"/>
        <v>0.16519311120551999</v>
      </c>
      <c r="G16" s="18">
        <f t="shared" si="0"/>
        <v>0.14896362553135317</v>
      </c>
      <c r="H16" s="18">
        <f t="shared" si="0"/>
        <v>0.12882811097784289</v>
      </c>
      <c r="I16" s="18">
        <f t="shared" si="0"/>
        <v>0.10429389586919496</v>
      </c>
      <c r="J16" s="18">
        <f t="shared" si="0"/>
        <v>7.3506762710479581E-2</v>
      </c>
      <c r="K16" s="18">
        <f t="shared" si="0"/>
        <v>3.9131378321134974E-2</v>
      </c>
      <c r="L16" s="18">
        <f>L29*L28/1000000</f>
        <v>0</v>
      </c>
      <c r="M16" s="18">
        <f>M29*M28/1000000000</f>
        <v>4.4587452319075425E-2</v>
      </c>
      <c r="N16" s="18">
        <f>N29*N28/1000000000</f>
        <v>9.2873375090192778E-2</v>
      </c>
      <c r="O16" s="18">
        <f>O29*O28/1000000000</f>
        <v>0.14840805641095664</v>
      </c>
      <c r="P16" s="18">
        <f t="shared" ref="P16:BB16" si="1">P29*P28/1000000000</f>
        <v>0.2073680602673757</v>
      </c>
      <c r="Q16" s="18">
        <f t="shared" si="1"/>
        <v>0.53944765143652307</v>
      </c>
      <c r="R16" s="18">
        <f t="shared" si="1"/>
        <v>0.84829014039135431</v>
      </c>
      <c r="S16" s="18">
        <f t="shared" si="1"/>
        <v>1.2254389397067191</v>
      </c>
      <c r="T16" s="18">
        <f t="shared" si="1"/>
        <v>1.6495748370724748</v>
      </c>
      <c r="U16" s="18">
        <f t="shared" si="1"/>
        <v>2.1516445651293861</v>
      </c>
      <c r="V16" s="18">
        <f t="shared" si="1"/>
        <v>2.5818570681636404</v>
      </c>
      <c r="W16" s="18">
        <f t="shared" si="1"/>
        <v>2.6327865685033016</v>
      </c>
      <c r="X16" s="18">
        <f t="shared" si="1"/>
        <v>2.7181124455068115</v>
      </c>
      <c r="Y16" s="18">
        <f t="shared" si="1"/>
        <v>2.824263227804034</v>
      </c>
      <c r="Z16" s="18">
        <f t="shared" si="1"/>
        <v>3.0546262271138676</v>
      </c>
      <c r="AA16" s="18">
        <f t="shared" si="1"/>
        <v>3.4374855121887049</v>
      </c>
      <c r="AB16" s="18">
        <f t="shared" si="1"/>
        <v>3.7385293737460361</v>
      </c>
      <c r="AC16" s="18">
        <f t="shared" si="1"/>
        <v>4.1073609940128462</v>
      </c>
      <c r="AD16" s="18">
        <f t="shared" si="1"/>
        <v>4.4267438347783079</v>
      </c>
      <c r="AE16" s="18">
        <f t="shared" si="1"/>
        <v>4.766188769552171</v>
      </c>
      <c r="AF16" s="18">
        <f t="shared" si="1"/>
        <v>5.0703444697690321</v>
      </c>
      <c r="AG16" s="18">
        <f t="shared" si="1"/>
        <v>5.2840752173180761</v>
      </c>
      <c r="AH16" s="18">
        <f t="shared" si="1"/>
        <v>5.3454777328343983</v>
      </c>
      <c r="AI16" s="18">
        <f t="shared" si="1"/>
        <v>5.5932715122760239</v>
      </c>
      <c r="AJ16" s="18">
        <f t="shared" si="1"/>
        <v>5.7756972503593946</v>
      </c>
      <c r="AK16" s="18">
        <f t="shared" si="1"/>
        <v>6.1133859792492586</v>
      </c>
      <c r="AL16" s="18">
        <f t="shared" si="1"/>
        <v>6.3822679128525381</v>
      </c>
      <c r="AM16" s="18">
        <f t="shared" si="1"/>
        <v>6.7297108529672087</v>
      </c>
      <c r="AN16" s="18">
        <f t="shared" si="1"/>
        <v>7.1614454833457897</v>
      </c>
      <c r="AO16" s="18">
        <f t="shared" si="1"/>
        <v>7.7027184571288849</v>
      </c>
      <c r="AP16" s="18">
        <f t="shared" si="1"/>
        <v>8.1982452564874215</v>
      </c>
      <c r="AQ16" s="18">
        <f t="shared" si="1"/>
        <v>8.8447651044176574</v>
      </c>
      <c r="AR16" s="18">
        <f t="shared" si="1"/>
        <v>9.1763247099515102</v>
      </c>
      <c r="AS16" s="18">
        <f t="shared" si="1"/>
        <v>9.5626555115856391</v>
      </c>
      <c r="AT16" s="18">
        <f t="shared" si="1"/>
        <v>9.7465638105088317</v>
      </c>
      <c r="AU16" s="18">
        <f t="shared" si="1"/>
        <v>10.297742100528694</v>
      </c>
      <c r="AV16" s="18">
        <f t="shared" si="1"/>
        <v>10.816533503849056</v>
      </c>
      <c r="AW16" s="18">
        <f t="shared" si="1"/>
        <v>11.485803815002011</v>
      </c>
      <c r="AX16" s="18">
        <f t="shared" si="1"/>
        <v>11.954509218491808</v>
      </c>
      <c r="AY16" s="18">
        <f t="shared" si="1"/>
        <v>12.109689879688103</v>
      </c>
      <c r="AZ16" s="18">
        <f t="shared" si="1"/>
        <v>12.247506800390711</v>
      </c>
      <c r="BA16" s="18">
        <f t="shared" si="1"/>
        <v>12.652280501341961</v>
      </c>
      <c r="BB16" s="18">
        <f t="shared" si="1"/>
        <v>12.855804157972807</v>
      </c>
      <c r="BC16" s="18">
        <f>BC29*BC28/1000000000</f>
        <v>13.299099252145449</v>
      </c>
      <c r="BD16" s="18">
        <f>BD29*BD28/1000000000</f>
        <v>13.204824280405093</v>
      </c>
    </row>
    <row r="17" spans="1:56" s="21" customFormat="1" x14ac:dyDescent="0.25">
      <c r="A17" s="21">
        <v>2</v>
      </c>
      <c r="B17" s="21" t="s">
        <v>256</v>
      </c>
      <c r="L17" s="21">
        <v>1786</v>
      </c>
      <c r="P17" s="21">
        <v>1798</v>
      </c>
      <c r="V17" s="21">
        <v>1855</v>
      </c>
      <c r="AF17" s="21">
        <v>1924</v>
      </c>
    </row>
    <row r="18" spans="1:56" s="21" customFormat="1" x14ac:dyDescent="0.25">
      <c r="A18" s="21">
        <v>3</v>
      </c>
      <c r="B18" s="21" t="s">
        <v>257</v>
      </c>
      <c r="L18" s="21">
        <v>889</v>
      </c>
      <c r="P18" s="21">
        <v>888</v>
      </c>
      <c r="V18" s="21">
        <v>939</v>
      </c>
      <c r="AF18" s="21">
        <v>900</v>
      </c>
    </row>
    <row r="19" spans="1:56" s="21" customFormat="1" x14ac:dyDescent="0.25">
      <c r="A19" s="21">
        <v>4</v>
      </c>
      <c r="B19" s="21" t="s">
        <v>258</v>
      </c>
      <c r="L19" s="21">
        <f>SUM(L17+L18)</f>
        <v>2675</v>
      </c>
      <c r="P19" s="21">
        <f>SUM(P17+P18)</f>
        <v>2686</v>
      </c>
      <c r="V19" s="21">
        <f>SUM(V17+V18)</f>
        <v>2794</v>
      </c>
      <c r="AF19" s="21">
        <f>SUM(AF17+AF18)</f>
        <v>2824</v>
      </c>
    </row>
    <row r="20" spans="1:56" s="21" customFormat="1" x14ac:dyDescent="0.25">
      <c r="A20" s="21">
        <v>5</v>
      </c>
      <c r="B20" s="21" t="s">
        <v>259</v>
      </c>
      <c r="AT20" s="21">
        <v>3.69</v>
      </c>
      <c r="AU20" s="21">
        <v>3.66</v>
      </c>
      <c r="AV20" s="21">
        <v>3.7</v>
      </c>
      <c r="AW20" s="21">
        <v>3.75</v>
      </c>
      <c r="AX20" s="21">
        <v>3.81</v>
      </c>
      <c r="AY20" s="21">
        <v>3.73</v>
      </c>
      <c r="AZ20" s="21">
        <v>3.53</v>
      </c>
      <c r="BA20" s="21">
        <v>3.5</v>
      </c>
      <c r="BB20" s="21">
        <v>3.57</v>
      </c>
      <c r="BC20" s="21">
        <v>3.5</v>
      </c>
      <c r="BD20" s="21">
        <v>3.51</v>
      </c>
    </row>
    <row r="21" spans="1:56" s="21" customFormat="1" x14ac:dyDescent="0.25">
      <c r="A21" s="21">
        <v>6</v>
      </c>
      <c r="B21" s="21" t="s">
        <v>260</v>
      </c>
      <c r="AT21" s="21">
        <f t="shared" ref="AT21:BB21" si="2">AT20*365</f>
        <v>1346.85</v>
      </c>
      <c r="AU21" s="21">
        <f t="shared" si="2"/>
        <v>1335.9</v>
      </c>
      <c r="AV21" s="21">
        <f t="shared" si="2"/>
        <v>1350.5</v>
      </c>
      <c r="AW21" s="21">
        <f t="shared" si="2"/>
        <v>1368.75</v>
      </c>
      <c r="AX21" s="21">
        <f t="shared" si="2"/>
        <v>1390.65</v>
      </c>
      <c r="AY21" s="21">
        <f t="shared" si="2"/>
        <v>1361.45</v>
      </c>
      <c r="AZ21" s="21">
        <f t="shared" si="2"/>
        <v>1288.4499999999998</v>
      </c>
      <c r="BA21" s="21">
        <f t="shared" si="2"/>
        <v>1277.5</v>
      </c>
      <c r="BB21" s="21">
        <f t="shared" si="2"/>
        <v>1303.05</v>
      </c>
      <c r="BC21" s="21">
        <f>BC20*365</f>
        <v>1277.5</v>
      </c>
      <c r="BD21" s="21">
        <f>BD20*365</f>
        <v>1281.1499999999999</v>
      </c>
    </row>
    <row r="22" spans="1:56" s="21" customFormat="1" x14ac:dyDescent="0.25">
      <c r="A22" s="21">
        <v>7</v>
      </c>
      <c r="B22" s="21" t="s">
        <v>261</v>
      </c>
      <c r="C22" s="21">
        <f t="shared" ref="C22:I22" si="3">1.001*D22</f>
        <v>2699.1715250373845</v>
      </c>
      <c r="D22" s="21">
        <f t="shared" si="3"/>
        <v>2696.4750499873976</v>
      </c>
      <c r="E22" s="21">
        <f t="shared" si="3"/>
        <v>2693.7812687186793</v>
      </c>
      <c r="F22" s="21">
        <f t="shared" si="3"/>
        <v>2691.0901785401393</v>
      </c>
      <c r="G22" s="21">
        <f t="shared" si="3"/>
        <v>2688.4017767633763</v>
      </c>
      <c r="H22" s="21">
        <f t="shared" si="3"/>
        <v>2685.716060702674</v>
      </c>
      <c r="I22" s="21">
        <f t="shared" si="3"/>
        <v>2683.0330276749992</v>
      </c>
      <c r="J22" s="21">
        <f>1.001*K22</f>
        <v>2680.3526749999996</v>
      </c>
      <c r="K22" s="21">
        <f>1.001*L19</f>
        <v>2677.6749999999997</v>
      </c>
      <c r="M22" s="21">
        <f>L19+($P19-$L19)/4</f>
        <v>2677.75</v>
      </c>
      <c r="N22" s="21">
        <f>M22+($P19-$L19)/4</f>
        <v>2680.5</v>
      </c>
      <c r="O22" s="21">
        <f>N22+($P19-$L19)/4</f>
        <v>2683.25</v>
      </c>
      <c r="Q22" s="21">
        <f>P19+($V19-$P19)/6</f>
        <v>2704</v>
      </c>
      <c r="R22" s="21">
        <f>Q22+($V19-$P19)/6</f>
        <v>2722</v>
      </c>
      <c r="S22" s="21">
        <f>R22+($V19-$P19)/6</f>
        <v>2740</v>
      </c>
      <c r="T22" s="21">
        <f>S22+($V19-$P19)/6</f>
        <v>2758</v>
      </c>
      <c r="U22" s="21">
        <f>T22+($V19-$P19)/6</f>
        <v>2776</v>
      </c>
      <c r="W22" s="21">
        <f>V19+($AF19-$V19)/10</f>
        <v>2797</v>
      </c>
      <c r="X22" s="21">
        <f t="shared" ref="X22:AE22" si="4">W22+($AF19-$V19)/10</f>
        <v>2800</v>
      </c>
      <c r="Y22" s="21">
        <f t="shared" si="4"/>
        <v>2803</v>
      </c>
      <c r="Z22" s="21">
        <f t="shared" si="4"/>
        <v>2806</v>
      </c>
      <c r="AA22" s="21">
        <f t="shared" si="4"/>
        <v>2809</v>
      </c>
      <c r="AB22" s="21">
        <f t="shared" si="4"/>
        <v>2812</v>
      </c>
      <c r="AC22" s="21">
        <f t="shared" si="4"/>
        <v>2815</v>
      </c>
      <c r="AD22" s="21">
        <f t="shared" si="4"/>
        <v>2818</v>
      </c>
      <c r="AE22" s="21">
        <f t="shared" si="4"/>
        <v>2821</v>
      </c>
      <c r="AG22" s="21">
        <f>AF19+5.2</f>
        <v>2829.2</v>
      </c>
      <c r="AH22" s="21">
        <f>AG22+5.2</f>
        <v>2834.3999999999996</v>
      </c>
      <c r="AI22" s="21">
        <f t="shared" ref="AI22:AS22" si="5">AH22+5.2</f>
        <v>2839.5999999999995</v>
      </c>
      <c r="AJ22" s="21">
        <f t="shared" si="5"/>
        <v>2844.7999999999993</v>
      </c>
      <c r="AK22" s="21">
        <f t="shared" si="5"/>
        <v>2849.9999999999991</v>
      </c>
      <c r="AL22" s="21">
        <f t="shared" si="5"/>
        <v>2855.1999999999989</v>
      </c>
      <c r="AM22" s="21">
        <f t="shared" si="5"/>
        <v>2860.3999999999987</v>
      </c>
      <c r="AN22" s="21">
        <f t="shared" si="5"/>
        <v>2865.5999999999985</v>
      </c>
      <c r="AO22" s="21">
        <f t="shared" si="5"/>
        <v>2870.7999999999984</v>
      </c>
      <c r="AP22" s="21">
        <f t="shared" si="5"/>
        <v>2875.9999999999982</v>
      </c>
      <c r="AQ22" s="21">
        <f t="shared" si="5"/>
        <v>2881.199999999998</v>
      </c>
      <c r="AR22" s="21">
        <f t="shared" si="5"/>
        <v>2886.3999999999978</v>
      </c>
      <c r="AS22" s="21">
        <f t="shared" si="5"/>
        <v>2891.5999999999976</v>
      </c>
      <c r="AT22" s="21">
        <f t="shared" ref="AT22:BB22" si="6">AS22+3.2</f>
        <v>2894.7999999999975</v>
      </c>
      <c r="AU22" s="21">
        <f t="shared" si="6"/>
        <v>2897.9999999999973</v>
      </c>
      <c r="AV22" s="21">
        <f t="shared" si="6"/>
        <v>2901.1999999999971</v>
      </c>
      <c r="AW22" s="21">
        <f t="shared" si="6"/>
        <v>2904.3999999999969</v>
      </c>
      <c r="AX22" s="21">
        <f t="shared" si="6"/>
        <v>2907.5999999999967</v>
      </c>
      <c r="AY22" s="21">
        <f t="shared" si="6"/>
        <v>2910.7999999999965</v>
      </c>
      <c r="AZ22" s="21">
        <f t="shared" si="6"/>
        <v>2913.9999999999964</v>
      </c>
      <c r="BA22" s="21">
        <f t="shared" si="6"/>
        <v>2917.1999999999962</v>
      </c>
      <c r="BB22" s="21">
        <f t="shared" si="6"/>
        <v>2920.399999999996</v>
      </c>
      <c r="BC22" s="21">
        <f>BB22+3.2</f>
        <v>2923.5999999999958</v>
      </c>
      <c r="BD22" s="21">
        <f>BC22+3.2</f>
        <v>2926.7999999999956</v>
      </c>
    </row>
    <row r="23" spans="1:56" s="21" customFormat="1" x14ac:dyDescent="0.25">
      <c r="A23" s="21">
        <v>8</v>
      </c>
      <c r="B23" s="21" t="s">
        <v>262</v>
      </c>
      <c r="C23" s="21">
        <v>2699.1715250373845</v>
      </c>
      <c r="D23" s="21">
        <v>2696.4750499873976</v>
      </c>
      <c r="E23" s="21">
        <v>2693.7812687186793</v>
      </c>
      <c r="F23" s="21">
        <v>2691.0901785401393</v>
      </c>
      <c r="G23" s="21">
        <v>2688.4017767633763</v>
      </c>
      <c r="H23" s="21">
        <v>2685.716060702674</v>
      </c>
      <c r="I23" s="21">
        <v>2683.0330276749992</v>
      </c>
      <c r="J23" s="21">
        <v>2680.3526749999996</v>
      </c>
      <c r="K23" s="21">
        <v>2677.6749999999997</v>
      </c>
      <c r="L23" s="21">
        <v>2675</v>
      </c>
      <c r="M23" s="21">
        <v>2677.75</v>
      </c>
      <c r="N23" s="21">
        <v>2680.5</v>
      </c>
      <c r="O23" s="21">
        <v>2683.25</v>
      </c>
      <c r="P23" s="21">
        <v>2686</v>
      </c>
      <c r="Q23" s="21">
        <v>2704</v>
      </c>
      <c r="R23" s="21">
        <v>2722</v>
      </c>
      <c r="S23" s="21">
        <v>2740</v>
      </c>
      <c r="T23" s="21">
        <v>2758</v>
      </c>
      <c r="U23" s="21">
        <v>2776</v>
      </c>
      <c r="V23" s="21">
        <v>2794</v>
      </c>
      <c r="W23" s="21">
        <v>2797</v>
      </c>
      <c r="X23" s="21">
        <v>2800</v>
      </c>
      <c r="Y23" s="21">
        <v>2803</v>
      </c>
      <c r="Z23" s="21">
        <v>2806</v>
      </c>
      <c r="AA23" s="21">
        <v>2809</v>
      </c>
      <c r="AB23" s="21">
        <v>2812</v>
      </c>
      <c r="AC23" s="21">
        <v>2815</v>
      </c>
      <c r="AD23" s="21">
        <v>2818</v>
      </c>
      <c r="AE23" s="21">
        <v>2821</v>
      </c>
      <c r="AF23" s="21">
        <v>2824</v>
      </c>
      <c r="AG23" s="21">
        <v>2829.2</v>
      </c>
      <c r="AH23" s="21">
        <v>2834.3999999999996</v>
      </c>
      <c r="AI23" s="21">
        <v>2839.5999999999995</v>
      </c>
      <c r="AJ23" s="21">
        <v>2844.7999999999993</v>
      </c>
      <c r="AK23" s="21">
        <v>2849.9999999999991</v>
      </c>
      <c r="AL23" s="21">
        <v>2855.1999999999989</v>
      </c>
      <c r="AM23" s="21">
        <v>2860.3999999999987</v>
      </c>
      <c r="AN23" s="21">
        <v>2865.5999999999985</v>
      </c>
      <c r="AO23" s="21">
        <v>2870.7999999999984</v>
      </c>
      <c r="AP23" s="21">
        <v>2875.9999999999982</v>
      </c>
      <c r="AQ23" s="21">
        <v>2881.199999999998</v>
      </c>
      <c r="AR23" s="21">
        <v>2886.3999999999978</v>
      </c>
      <c r="AS23" s="21">
        <v>2891.5999999999976</v>
      </c>
      <c r="AT23" s="21">
        <v>2894.7999999999975</v>
      </c>
      <c r="AU23" s="21">
        <v>2897.9999999999973</v>
      </c>
      <c r="AV23" s="21">
        <v>2901.1999999999971</v>
      </c>
      <c r="AW23" s="21">
        <v>2904.3999999999969</v>
      </c>
      <c r="AX23" s="21">
        <v>2907.5999999999967</v>
      </c>
      <c r="AY23" s="21">
        <v>2910.7999999999965</v>
      </c>
      <c r="AZ23" s="21">
        <v>2914</v>
      </c>
      <c r="BA23" s="21">
        <f>BA22</f>
        <v>2917.1999999999962</v>
      </c>
      <c r="BB23" s="21">
        <f>BB22</f>
        <v>2920.399999999996</v>
      </c>
      <c r="BC23" s="21">
        <f>BC22</f>
        <v>2923.5999999999958</v>
      </c>
      <c r="BD23" s="21">
        <f>BD22</f>
        <v>2926.7999999999956</v>
      </c>
    </row>
    <row r="24" spans="1:56" s="18" customFormat="1" x14ac:dyDescent="0.25">
      <c r="A24" s="18">
        <v>9</v>
      </c>
      <c r="B24" s="18" t="s">
        <v>263</v>
      </c>
      <c r="C24" s="18">
        <f>C23-$L23</f>
        <v>24.171525037384527</v>
      </c>
      <c r="D24" s="18">
        <f t="shared" ref="D24:BB24" si="7">D23-$L23</f>
        <v>21.475049987397597</v>
      </c>
      <c r="E24" s="18">
        <f t="shared" si="7"/>
        <v>18.781268718679257</v>
      </c>
      <c r="F24" s="18">
        <f t="shared" si="7"/>
        <v>16.090178540139277</v>
      </c>
      <c r="G24" s="18">
        <f t="shared" si="7"/>
        <v>13.401776763376347</v>
      </c>
      <c r="H24" s="18">
        <f t="shared" si="7"/>
        <v>10.716060702673985</v>
      </c>
      <c r="I24" s="18">
        <f t="shared" si="7"/>
        <v>8.0330276749991754</v>
      </c>
      <c r="J24" s="18">
        <f t="shared" si="7"/>
        <v>5.3526749999996355</v>
      </c>
      <c r="K24" s="18">
        <f t="shared" si="7"/>
        <v>2.6749999999997272</v>
      </c>
      <c r="L24" s="18">
        <f t="shared" si="7"/>
        <v>0</v>
      </c>
      <c r="M24" s="18">
        <f t="shared" si="7"/>
        <v>2.75</v>
      </c>
      <c r="N24" s="18">
        <f t="shared" si="7"/>
        <v>5.5</v>
      </c>
      <c r="O24" s="18">
        <f t="shared" si="7"/>
        <v>8.25</v>
      </c>
      <c r="P24" s="18">
        <f t="shared" si="7"/>
        <v>11</v>
      </c>
      <c r="Q24" s="18">
        <f t="shared" si="7"/>
        <v>29</v>
      </c>
      <c r="R24" s="18">
        <f t="shared" si="7"/>
        <v>47</v>
      </c>
      <c r="S24" s="18">
        <f t="shared" si="7"/>
        <v>65</v>
      </c>
      <c r="T24" s="18">
        <f t="shared" si="7"/>
        <v>83</v>
      </c>
      <c r="U24" s="18">
        <f t="shared" si="7"/>
        <v>101</v>
      </c>
      <c r="V24" s="18">
        <f t="shared" si="7"/>
        <v>119</v>
      </c>
      <c r="W24" s="18">
        <f t="shared" si="7"/>
        <v>122</v>
      </c>
      <c r="X24" s="18">
        <f t="shared" si="7"/>
        <v>125</v>
      </c>
      <c r="Y24" s="18">
        <f t="shared" si="7"/>
        <v>128</v>
      </c>
      <c r="Z24" s="18">
        <f t="shared" si="7"/>
        <v>131</v>
      </c>
      <c r="AA24" s="18">
        <f t="shared" si="7"/>
        <v>134</v>
      </c>
      <c r="AB24" s="18">
        <f t="shared" si="7"/>
        <v>137</v>
      </c>
      <c r="AC24" s="18">
        <f t="shared" si="7"/>
        <v>140</v>
      </c>
      <c r="AD24" s="18">
        <f t="shared" si="7"/>
        <v>143</v>
      </c>
      <c r="AE24" s="18">
        <f t="shared" si="7"/>
        <v>146</v>
      </c>
      <c r="AF24" s="18">
        <f t="shared" si="7"/>
        <v>149</v>
      </c>
      <c r="AG24" s="18">
        <f t="shared" si="7"/>
        <v>154.19999999999982</v>
      </c>
      <c r="AH24" s="18">
        <f t="shared" si="7"/>
        <v>159.39999999999964</v>
      </c>
      <c r="AI24" s="18">
        <f t="shared" si="7"/>
        <v>164.59999999999945</v>
      </c>
      <c r="AJ24" s="18">
        <f t="shared" si="7"/>
        <v>169.79999999999927</v>
      </c>
      <c r="AK24" s="18">
        <f t="shared" si="7"/>
        <v>174.99999999999909</v>
      </c>
      <c r="AL24" s="18">
        <f t="shared" si="7"/>
        <v>180.19999999999891</v>
      </c>
      <c r="AM24" s="18">
        <f t="shared" si="7"/>
        <v>185.39999999999873</v>
      </c>
      <c r="AN24" s="18">
        <f t="shared" si="7"/>
        <v>190.59999999999854</v>
      </c>
      <c r="AO24" s="18">
        <f t="shared" si="7"/>
        <v>195.79999999999836</v>
      </c>
      <c r="AP24" s="18">
        <f t="shared" si="7"/>
        <v>200.99999999999818</v>
      </c>
      <c r="AQ24" s="18">
        <f t="shared" si="7"/>
        <v>206.199999999998</v>
      </c>
      <c r="AR24" s="18">
        <f t="shared" si="7"/>
        <v>211.39999999999782</v>
      </c>
      <c r="AS24" s="18">
        <f t="shared" si="7"/>
        <v>216.59999999999764</v>
      </c>
      <c r="AT24" s="18">
        <f t="shared" si="7"/>
        <v>219.79999999999745</v>
      </c>
      <c r="AU24" s="18">
        <f t="shared" si="7"/>
        <v>222.99999999999727</v>
      </c>
      <c r="AV24" s="18">
        <f t="shared" si="7"/>
        <v>226.19999999999709</v>
      </c>
      <c r="AW24" s="18">
        <f t="shared" si="7"/>
        <v>229.39999999999691</v>
      </c>
      <c r="AX24" s="18">
        <f t="shared" si="7"/>
        <v>232.59999999999673</v>
      </c>
      <c r="AY24" s="18">
        <f t="shared" si="7"/>
        <v>235.79999999999654</v>
      </c>
      <c r="AZ24" s="18">
        <f t="shared" si="7"/>
        <v>239</v>
      </c>
      <c r="BA24" s="18">
        <f t="shared" si="7"/>
        <v>242.19999999999618</v>
      </c>
      <c r="BB24" s="18">
        <f t="shared" si="7"/>
        <v>245.399999999996</v>
      </c>
      <c r="BC24" s="18">
        <f>BC23-$L23</f>
        <v>248.59999999999582</v>
      </c>
      <c r="BD24" s="18">
        <f>BD23-$L23</f>
        <v>251.79999999999563</v>
      </c>
    </row>
    <row r="25" spans="1:56" s="21" customFormat="1" x14ac:dyDescent="0.25">
      <c r="A25" s="21">
        <v>10</v>
      </c>
      <c r="B25" s="21" t="s">
        <v>264</v>
      </c>
      <c r="C25" s="21">
        <v>1437503.3064321801</v>
      </c>
      <c r="D25" s="21">
        <v>1466595.0855215599</v>
      </c>
      <c r="E25" s="21">
        <v>1506769.4471211743</v>
      </c>
      <c r="F25" s="21">
        <v>1563567.6824861462</v>
      </c>
      <c r="G25" s="21">
        <v>1612515.7552397002</v>
      </c>
      <c r="H25" s="21">
        <v>1662387.3765357735</v>
      </c>
      <c r="I25" s="21">
        <v>1706255.9323054682</v>
      </c>
      <c r="J25" s="21">
        <v>1734885.9371235839</v>
      </c>
      <c r="K25" s="21">
        <v>1761668.8448566601</v>
      </c>
      <c r="L25" s="21">
        <v>1786142.881233437</v>
      </c>
      <c r="M25" s="21">
        <v>1812002.2404239937</v>
      </c>
      <c r="N25" s="21">
        <v>1855409.0219224282</v>
      </c>
      <c r="O25" s="21">
        <v>1880806.6068417241</v>
      </c>
      <c r="P25" s="21">
        <v>1892350.9636232234</v>
      </c>
      <c r="Q25" s="21">
        <v>1902048.2233196816</v>
      </c>
      <c r="R25" s="21">
        <v>1911283.7087448807</v>
      </c>
      <c r="S25" s="21">
        <v>1916825</v>
      </c>
      <c r="T25" s="21">
        <v>1973921.5</v>
      </c>
      <c r="U25" s="21">
        <v>2052228</v>
      </c>
      <c r="V25" s="21">
        <v>2108598.25</v>
      </c>
      <c r="W25" s="21">
        <v>2141682.9166666665</v>
      </c>
      <c r="X25" s="21">
        <v>2162879.6666666665</v>
      </c>
      <c r="Y25" s="21">
        <v>2181451.5833333335</v>
      </c>
      <c r="Z25" s="21">
        <v>2199820.0833333335</v>
      </c>
      <c r="AA25" s="21">
        <v>2236436</v>
      </c>
      <c r="AB25" s="21">
        <v>2270357.75</v>
      </c>
      <c r="AC25" s="21">
        <v>2345899.0833333335</v>
      </c>
      <c r="AD25" s="21">
        <v>2406557.0833333335</v>
      </c>
      <c r="AE25" s="21">
        <v>2460800.9166666665</v>
      </c>
      <c r="AF25" s="21">
        <v>2517422.3333333335</v>
      </c>
      <c r="AG25" s="21">
        <v>2582826.6666666665</v>
      </c>
      <c r="AH25" s="21">
        <v>2629882.5833333335</v>
      </c>
      <c r="AI25" s="21">
        <v>2659658</v>
      </c>
      <c r="AJ25" s="21">
        <v>2660794.75</v>
      </c>
      <c r="AK25" s="21">
        <v>2684166.25</v>
      </c>
      <c r="AL25" s="21">
        <v>2709899.25</v>
      </c>
      <c r="AM25" s="21">
        <v>2751738.5</v>
      </c>
      <c r="AN25" s="21">
        <v>2778201.75</v>
      </c>
      <c r="AO25" s="21">
        <v>2780009</v>
      </c>
      <c r="AP25" s="21">
        <v>2787870.6666666665</v>
      </c>
      <c r="AQ25" s="21">
        <v>2811656.5833333335</v>
      </c>
      <c r="AR25" s="21">
        <v>2827047</v>
      </c>
      <c r="AS25" s="21">
        <v>2861420.1666666665</v>
      </c>
      <c r="AT25" s="21">
        <v>2870026.3333333335</v>
      </c>
      <c r="AU25" s="21">
        <v>2885240</v>
      </c>
      <c r="AV25" s="21">
        <v>2931946</v>
      </c>
      <c r="AW25" s="21">
        <v>3007264</v>
      </c>
      <c r="AX25" s="21">
        <v>2988436</v>
      </c>
      <c r="AY25" s="21">
        <v>3025374</v>
      </c>
      <c r="AZ25" s="21">
        <v>3029963</v>
      </c>
      <c r="BA25" s="21">
        <v>3057271</v>
      </c>
      <c r="BB25" s="21">
        <v>3072246</v>
      </c>
      <c r="BC25" s="21">
        <v>3122629</v>
      </c>
      <c r="BD25" s="21">
        <v>3127676</v>
      </c>
    </row>
    <row r="26" spans="1:56" s="21" customFormat="1" x14ac:dyDescent="0.25">
      <c r="A26" s="21">
        <v>11</v>
      </c>
      <c r="B26" s="28" t="s">
        <v>265</v>
      </c>
      <c r="C26" s="21">
        <v>8.491775987389989</v>
      </c>
      <c r="D26" s="21">
        <v>9.4840874515350944</v>
      </c>
      <c r="E26" s="21">
        <v>8.491775987389989</v>
      </c>
      <c r="F26" s="21">
        <v>8.6571739629025046</v>
      </c>
      <c r="G26" s="21">
        <v>8.2436694755049693</v>
      </c>
      <c r="H26" s="21">
        <v>7.66470972089743</v>
      </c>
      <c r="I26" s="21">
        <v>7.0856875819970719</v>
      </c>
      <c r="J26" s="21">
        <v>7.0856875819970719</v>
      </c>
      <c r="K26" s="21">
        <v>6.9202412268289013</v>
      </c>
      <c r="L26" s="21">
        <v>6.8375161395215649</v>
      </c>
      <c r="M26" s="21">
        <v>7.9955515052804493</v>
      </c>
      <c r="N26" s="21">
        <v>8.8225668458196846</v>
      </c>
      <c r="O26" s="21">
        <v>8.5744756117206613</v>
      </c>
      <c r="P26" s="21">
        <v>7.9955515052804493</v>
      </c>
      <c r="Q26" s="21">
        <v>8.5744756117206613</v>
      </c>
      <c r="R26" s="21">
        <v>10.972210897567821</v>
      </c>
      <c r="S26" s="21">
        <v>10.310873625284374</v>
      </c>
      <c r="T26" s="21">
        <v>9.8913138910038203</v>
      </c>
      <c r="U26" s="21">
        <v>9.4555825401288196</v>
      </c>
      <c r="V26" s="21">
        <v>9.5604840598000003</v>
      </c>
      <c r="W26" s="21">
        <v>10.351214179515278</v>
      </c>
      <c r="X26" s="21">
        <v>10.891748359034375</v>
      </c>
      <c r="Y26" s="21">
        <v>11.92425934347882</v>
      </c>
      <c r="Z26" s="21">
        <v>11.053091296103819</v>
      </c>
      <c r="AA26" s="21">
        <v>8.9068335046093754</v>
      </c>
      <c r="AB26" s="21">
        <v>8.4790931694152789</v>
      </c>
      <c r="AC26" s="21">
        <v>8.3660994693944453</v>
      </c>
      <c r="AD26" s="21">
        <v>8.1078192305499996</v>
      </c>
      <c r="AE26" s="21">
        <v>7.8979573937152772</v>
      </c>
      <c r="AF26" s="21">
        <v>7.5508602135593765</v>
      </c>
      <c r="AG26" s="21">
        <v>8.3418862244704872</v>
      </c>
      <c r="AH26" s="21">
        <v>9.9800696460611125</v>
      </c>
      <c r="AI26" s="21">
        <v>10.302805478061112</v>
      </c>
      <c r="AJ26" s="21">
        <v>9.7380050400819442</v>
      </c>
      <c r="AK26" s="21">
        <v>8.9471846081944459</v>
      </c>
      <c r="AL26" s="21">
        <v>8.8422711083371528</v>
      </c>
      <c r="AM26" s="21">
        <v>8.7373555592374998</v>
      </c>
      <c r="AN26" s="21">
        <v>8.5355891281871532</v>
      </c>
      <c r="AO26" s="21">
        <v>8.0997477730121528</v>
      </c>
      <c r="AP26" s="21">
        <v>7.4055570625343758</v>
      </c>
      <c r="AQ26" s="21">
        <v>7.3894120254621534</v>
      </c>
      <c r="AR26" s="21">
        <v>7.8737420389204855</v>
      </c>
      <c r="AS26" s="21">
        <v>8.2773170378093752</v>
      </c>
      <c r="AT26" s="21">
        <v>8.2853882285819456</v>
      </c>
      <c r="AU26" s="21">
        <v>8.1078192305499996</v>
      </c>
      <c r="AV26" s="21">
        <v>7.9141009029500005</v>
      </c>
      <c r="AW26" s="21">
        <v>7.6235103157999999</v>
      </c>
      <c r="AX26" s="21">
        <v>7.3329040137500003</v>
      </c>
      <c r="AY26" s="21">
        <v>8.2046757752000001</v>
      </c>
      <c r="AZ26" s="21">
        <v>12.2</v>
      </c>
      <c r="BA26" s="21">
        <v>13</v>
      </c>
      <c r="BB26" s="21">
        <v>12.6</v>
      </c>
      <c r="BC26" s="21">
        <v>12.1</v>
      </c>
      <c r="BD26" s="21">
        <v>12.5</v>
      </c>
    </row>
    <row r="27" spans="1:56" s="28" customFormat="1" x14ac:dyDescent="0.25">
      <c r="A27" s="28">
        <v>12</v>
      </c>
      <c r="B27" s="28" t="s">
        <v>266</v>
      </c>
      <c r="C27" s="28">
        <f>(1-C26/100)*C25</f>
        <v>1315433.7458386351</v>
      </c>
      <c r="D27" s="28">
        <f t="shared" ref="D27:BB27" si="8">(1-D26/100)*D25</f>
        <v>1327501.9250507792</v>
      </c>
      <c r="E27" s="28">
        <f t="shared" si="8"/>
        <v>1378817.9610252094</v>
      </c>
      <c r="F27" s="28">
        <f t="shared" si="8"/>
        <v>1428206.9081855975</v>
      </c>
      <c r="G27" s="28">
        <f t="shared" si="8"/>
        <v>1479585.2861372966</v>
      </c>
      <c r="H27" s="28">
        <f t="shared" si="8"/>
        <v>1534970.2096874642</v>
      </c>
      <c r="I27" s="28">
        <f t="shared" si="8"/>
        <v>1585355.9675930114</v>
      </c>
      <c r="J27" s="28">
        <f t="shared" si="8"/>
        <v>1611957.3397150047</v>
      </c>
      <c r="K27" s="28">
        <f t="shared" si="8"/>
        <v>1639757.1111746889</v>
      </c>
      <c r="L27" s="28">
        <f t="shared" si="8"/>
        <v>1664015.0734541852</v>
      </c>
      <c r="M27" s="28">
        <f t="shared" si="8"/>
        <v>1667122.6680140574</v>
      </c>
      <c r="N27" s="28">
        <f t="shared" si="8"/>
        <v>1691714.3206999528</v>
      </c>
      <c r="O27" s="28">
        <f t="shared" si="8"/>
        <v>1719537.3030344495</v>
      </c>
      <c r="P27" s="28">
        <f t="shared" si="8"/>
        <v>1741047.0676660575</v>
      </c>
      <c r="Q27" s="28">
        <f t="shared" si="8"/>
        <v>1738957.5622879693</v>
      </c>
      <c r="R27" s="28">
        <f t="shared" si="8"/>
        <v>1701573.6293705364</v>
      </c>
      <c r="S27" s="28">
        <f t="shared" si="8"/>
        <v>1719183.5966321428</v>
      </c>
      <c r="T27" s="28">
        <f t="shared" si="8"/>
        <v>1778674.7284729891</v>
      </c>
      <c r="U27" s="28">
        <f t="shared" si="8"/>
        <v>1858177.8875483652</v>
      </c>
      <c r="V27" s="28">
        <f t="shared" si="8"/>
        <v>1907006.0504235283</v>
      </c>
      <c r="W27" s="28">
        <f t="shared" si="8"/>
        <v>1919992.7309164102</v>
      </c>
      <c r="X27" s="28">
        <f t="shared" si="8"/>
        <v>1927304.2560646117</v>
      </c>
      <c r="Y27" s="28">
        <f t="shared" si="8"/>
        <v>1921329.6390842418</v>
      </c>
      <c r="Z27" s="28">
        <f t="shared" si="8"/>
        <v>1956671.9611724729</v>
      </c>
      <c r="AA27" s="28">
        <f t="shared" si="8"/>
        <v>2037240.3690428543</v>
      </c>
      <c r="AB27" s="28">
        <f t="shared" si="8"/>
        <v>2077852.0010984596</v>
      </c>
      <c r="AC27" s="28">
        <f t="shared" si="8"/>
        <v>2149638.8325700546</v>
      </c>
      <c r="AD27" s="28">
        <f t="shared" si="8"/>
        <v>2211437.7853366705</v>
      </c>
      <c r="AE27" s="28">
        <f t="shared" si="8"/>
        <v>2266447.9087241781</v>
      </c>
      <c r="AF27" s="28">
        <f t="shared" si="8"/>
        <v>2327335.2919584089</v>
      </c>
      <c r="AG27" s="28">
        <f t="shared" si="8"/>
        <v>2367370.2047580495</v>
      </c>
      <c r="AH27" s="28">
        <f t="shared" si="8"/>
        <v>2367418.4699070356</v>
      </c>
      <c r="AI27" s="28">
        <f t="shared" si="8"/>
        <v>2385638.6098783095</v>
      </c>
      <c r="AJ27" s="28">
        <f t="shared" si="8"/>
        <v>2401686.4231387642</v>
      </c>
      <c r="AK27" s="28">
        <f t="shared" si="8"/>
        <v>2444008.9404216497</v>
      </c>
      <c r="AL27" s="28">
        <f t="shared" si="8"/>
        <v>2470282.6115522049</v>
      </c>
      <c r="AM27" s="28">
        <f t="shared" si="8"/>
        <v>2511309.3231945713</v>
      </c>
      <c r="AN27" s="28">
        <f t="shared" si="8"/>
        <v>2541065.863467895</v>
      </c>
      <c r="AO27" s="28">
        <f t="shared" si="8"/>
        <v>2554835.2829329623</v>
      </c>
      <c r="AP27" s="28">
        <f t="shared" si="8"/>
        <v>2581413.3136170092</v>
      </c>
      <c r="AQ27" s="28">
        <f t="shared" si="8"/>
        <v>2603891.6936498019</v>
      </c>
      <c r="AR27" s="28">
        <f t="shared" si="8"/>
        <v>2604452.6119009596</v>
      </c>
      <c r="AS27" s="28">
        <f t="shared" si="8"/>
        <v>2624571.347687853</v>
      </c>
      <c r="AT27" s="28">
        <f t="shared" si="8"/>
        <v>2632233.5093541313</v>
      </c>
      <c r="AU27" s="28">
        <f t="shared" si="8"/>
        <v>2651309.9564324794</v>
      </c>
      <c r="AV27" s="28">
        <f t="shared" si="8"/>
        <v>2699908.8351399936</v>
      </c>
      <c r="AW27" s="28">
        <f t="shared" si="8"/>
        <v>2778004.9187366604</v>
      </c>
      <c r="AX27" s="28">
        <f t="shared" si="8"/>
        <v>2769296.8566076499</v>
      </c>
      <c r="AY27" s="28">
        <f t="shared" si="8"/>
        <v>2777151.872312801</v>
      </c>
      <c r="AZ27" s="28">
        <f t="shared" si="8"/>
        <v>2660307.514</v>
      </c>
      <c r="BA27" s="28">
        <f t="shared" si="8"/>
        <v>2659825.77</v>
      </c>
      <c r="BB27" s="28">
        <f t="shared" si="8"/>
        <v>2685143.0040000002</v>
      </c>
      <c r="BC27" s="28">
        <f>(1-BC26/100)*BC25</f>
        <v>2744790.8909999998</v>
      </c>
      <c r="BD27" s="28">
        <f>(1-BD26/100)*BD25</f>
        <v>2736716.5</v>
      </c>
    </row>
    <row r="28" spans="1:56" s="18" customFormat="1" x14ac:dyDescent="0.25">
      <c r="A28" s="18">
        <v>13</v>
      </c>
      <c r="B28" s="18" t="s">
        <v>267</v>
      </c>
      <c r="C28" s="18">
        <f>C27*C24</f>
        <v>31796039.722559083</v>
      </c>
      <c r="D28" s="18">
        <f t="shared" ref="D28:BB28" si="9">D27*D24</f>
        <v>28508170.198832024</v>
      </c>
      <c r="E28" s="18">
        <f t="shared" si="9"/>
        <v>25895950.640155882</v>
      </c>
      <c r="F28" s="18">
        <f t="shared" si="9"/>
        <v>22980104.144966569</v>
      </c>
      <c r="G28" s="18">
        <f t="shared" si="9"/>
        <v>19829071.707188364</v>
      </c>
      <c r="H28" s="18">
        <f t="shared" si="9"/>
        <v>16448833.943807082</v>
      </c>
      <c r="I28" s="18">
        <f t="shared" si="9"/>
        <v>12735208.362399757</v>
      </c>
      <c r="J28" s="18">
        <f t="shared" si="9"/>
        <v>8628283.7533584256</v>
      </c>
      <c r="K28" s="18">
        <f t="shared" si="9"/>
        <v>4386350.2723918455</v>
      </c>
      <c r="L28" s="18">
        <f t="shared" si="9"/>
        <v>0</v>
      </c>
      <c r="M28" s="18">
        <f t="shared" si="9"/>
        <v>4584587.3370386576</v>
      </c>
      <c r="N28" s="18">
        <f t="shared" si="9"/>
        <v>9304428.7638497408</v>
      </c>
      <c r="O28" s="18">
        <f t="shared" si="9"/>
        <v>14186182.750034207</v>
      </c>
      <c r="P28" s="18">
        <f t="shared" si="9"/>
        <v>19151517.744326632</v>
      </c>
      <c r="Q28" s="18">
        <f t="shared" si="9"/>
        <v>50429769.30635111</v>
      </c>
      <c r="R28" s="18">
        <f t="shared" si="9"/>
        <v>79973960.580415219</v>
      </c>
      <c r="S28" s="18">
        <f t="shared" si="9"/>
        <v>111746933.78108928</v>
      </c>
      <c r="T28" s="18">
        <f t="shared" si="9"/>
        <v>147630002.46325809</v>
      </c>
      <c r="U28" s="18">
        <f t="shared" si="9"/>
        <v>187675966.64238489</v>
      </c>
      <c r="V28" s="18">
        <f t="shared" si="9"/>
        <v>226933720.00039986</v>
      </c>
      <c r="W28" s="18">
        <f t="shared" si="9"/>
        <v>234239113.17180204</v>
      </c>
      <c r="X28" s="18">
        <f t="shared" si="9"/>
        <v>240913032.00807646</v>
      </c>
      <c r="Y28" s="18">
        <f t="shared" si="9"/>
        <v>245930193.80278295</v>
      </c>
      <c r="Z28" s="18">
        <f t="shared" si="9"/>
        <v>256324026.91359395</v>
      </c>
      <c r="AA28" s="18">
        <f t="shared" si="9"/>
        <v>272990209.45174247</v>
      </c>
      <c r="AB28" s="18">
        <f t="shared" si="9"/>
        <v>284665724.15048897</v>
      </c>
      <c r="AC28" s="18">
        <f t="shared" si="9"/>
        <v>300949436.55980766</v>
      </c>
      <c r="AD28" s="18">
        <f t="shared" si="9"/>
        <v>316235603.30314386</v>
      </c>
      <c r="AE28" s="18">
        <f t="shared" si="9"/>
        <v>330901394.67373002</v>
      </c>
      <c r="AF28" s="18">
        <f t="shared" si="9"/>
        <v>346772958.50180292</v>
      </c>
      <c r="AG28" s="18">
        <f t="shared" si="9"/>
        <v>365048485.57369077</v>
      </c>
      <c r="AH28" s="18">
        <f t="shared" si="9"/>
        <v>377366504.10318059</v>
      </c>
      <c r="AI28" s="18">
        <f t="shared" si="9"/>
        <v>392676115.18596846</v>
      </c>
      <c r="AJ28" s="18">
        <f t="shared" si="9"/>
        <v>407806354.64896041</v>
      </c>
      <c r="AK28" s="18">
        <f t="shared" si="9"/>
        <v>427701564.5737865</v>
      </c>
      <c r="AL28" s="18">
        <f t="shared" si="9"/>
        <v>445144926.60170466</v>
      </c>
      <c r="AM28" s="18">
        <f t="shared" si="9"/>
        <v>465596748.52027035</v>
      </c>
      <c r="AN28" s="18">
        <f t="shared" si="9"/>
        <v>484327153.57697707</v>
      </c>
      <c r="AO28" s="18">
        <f t="shared" si="9"/>
        <v>500236748.39826983</v>
      </c>
      <c r="AP28" s="18">
        <f t="shared" si="9"/>
        <v>518864076.03701413</v>
      </c>
      <c r="AQ28" s="18">
        <f t="shared" si="9"/>
        <v>536922467.23058391</v>
      </c>
      <c r="AR28" s="18">
        <f t="shared" si="9"/>
        <v>550581282.15585721</v>
      </c>
      <c r="AS28" s="18">
        <f t="shared" si="9"/>
        <v>568482153.90918279</v>
      </c>
      <c r="AT28" s="18">
        <f t="shared" si="9"/>
        <v>578564925.3560313</v>
      </c>
      <c r="AU28" s="18">
        <f t="shared" si="9"/>
        <v>591242120.28443563</v>
      </c>
      <c r="AV28" s="18">
        <f t="shared" si="9"/>
        <v>610719378.50865865</v>
      </c>
      <c r="AW28" s="18">
        <f t="shared" si="9"/>
        <v>637274328.35818136</v>
      </c>
      <c r="AX28" s="18">
        <f t="shared" si="9"/>
        <v>644138448.84693027</v>
      </c>
      <c r="AY28" s="18">
        <f t="shared" si="9"/>
        <v>654852411.49134886</v>
      </c>
      <c r="AZ28" s="18">
        <f t="shared" si="9"/>
        <v>635813495.84599996</v>
      </c>
      <c r="BA28" s="18">
        <f t="shared" si="9"/>
        <v>644209801.49398983</v>
      </c>
      <c r="BB28" s="18">
        <f t="shared" si="9"/>
        <v>658934093.18158925</v>
      </c>
      <c r="BC28" s="18">
        <f>BC27*BC24</f>
        <v>682355015.50258851</v>
      </c>
      <c r="BD28" s="18">
        <f>BD27*BD24</f>
        <v>689105214.69998801</v>
      </c>
    </row>
    <row r="29" spans="1:56" s="28" customFormat="1" x14ac:dyDescent="0.25">
      <c r="A29" s="28">
        <v>14</v>
      </c>
      <c r="B29" s="28" t="s">
        <v>268</v>
      </c>
      <c r="C29" s="28">
        <v>6.5699356808731801</v>
      </c>
      <c r="D29" s="28">
        <v>6.7753633907898108</v>
      </c>
      <c r="E29" s="28">
        <v>7.0589499490575642</v>
      </c>
      <c r="F29" s="28">
        <v>7.1885275263951733</v>
      </c>
      <c r="G29" s="28">
        <v>7.5123852357320091</v>
      </c>
      <c r="H29" s="28">
        <v>7.8320512820512809</v>
      </c>
      <c r="I29" s="28">
        <v>8.1894141737891726</v>
      </c>
      <c r="J29" s="28">
        <v>8.5192797098111459</v>
      </c>
      <c r="K29" s="28">
        <v>8.9211704244031829</v>
      </c>
      <c r="L29" s="28">
        <v>9.4654055753510775</v>
      </c>
      <c r="M29" s="28">
        <v>9.7255105075337038</v>
      </c>
      <c r="N29" s="28">
        <v>9.9816310541310536</v>
      </c>
      <c r="O29" s="28">
        <v>10.46145104895105</v>
      </c>
      <c r="P29" s="28">
        <v>10.827761174636176</v>
      </c>
      <c r="Q29" s="28">
        <v>10.697008113590265</v>
      </c>
      <c r="R29" s="28">
        <v>10.607079282241921</v>
      </c>
      <c r="S29" s="28">
        <v>10.966197444910097</v>
      </c>
      <c r="T29" s="28">
        <v>11.173710015232292</v>
      </c>
      <c r="U29" s="28">
        <v>11.464678209060876</v>
      </c>
      <c r="V29" s="28">
        <v>11.377141608391609</v>
      </c>
      <c r="W29" s="28">
        <v>11.239739311053023</v>
      </c>
      <c r="X29" s="28">
        <v>11.28254633155623</v>
      </c>
      <c r="Y29" s="28">
        <v>11.484003587086487</v>
      </c>
      <c r="Z29" s="28">
        <v>11.917049930491194</v>
      </c>
      <c r="AA29" s="28">
        <v>12.591973606278223</v>
      </c>
      <c r="AB29" s="28">
        <v>13.133050650557623</v>
      </c>
      <c r="AC29" s="28">
        <v>13.648010247052218</v>
      </c>
      <c r="AD29" s="28">
        <v>13.998246208017335</v>
      </c>
      <c r="AE29" s="28">
        <v>14.403652708238509</v>
      </c>
      <c r="AF29" s="28">
        <v>14.621510545905705</v>
      </c>
      <c r="AG29" s="28">
        <v>14.474995585898418</v>
      </c>
      <c r="AH29" s="28">
        <v>14.165215181294478</v>
      </c>
      <c r="AI29" s="28">
        <v>14.243981989144139</v>
      </c>
      <c r="AJ29" s="28">
        <v>14.162842693638538</v>
      </c>
      <c r="AK29" s="28">
        <v>14.293578713796325</v>
      </c>
      <c r="AL29" s="28">
        <v>14.337505678376742</v>
      </c>
      <c r="AM29" s="28">
        <v>14.453947271657595</v>
      </c>
      <c r="AN29" s="28">
        <v>14.786380301941046</v>
      </c>
      <c r="AO29" s="28">
        <v>15.398145941481829</v>
      </c>
      <c r="AP29" s="28">
        <v>15.800371687136392</v>
      </c>
      <c r="AQ29" s="28">
        <v>16.473076923076924</v>
      </c>
      <c r="AR29" s="28">
        <v>16.666612192155668</v>
      </c>
      <c r="AS29" s="28">
        <v>16.821382071236155</v>
      </c>
      <c r="AT29" s="28">
        <v>16.846102111204011</v>
      </c>
      <c r="AU29" s="28">
        <v>17.417132080465851</v>
      </c>
      <c r="AV29" s="28">
        <v>17.711135235732005</v>
      </c>
      <c r="AW29" s="28">
        <v>18.023327323717947</v>
      </c>
      <c r="AX29" s="28">
        <v>18.558912668373591</v>
      </c>
      <c r="AY29" s="28">
        <v>18.492242934724356</v>
      </c>
      <c r="AZ29" s="28">
        <v>19.262734874940705</v>
      </c>
      <c r="BA29" s="28">
        <v>19.64</v>
      </c>
      <c r="BB29" s="28">
        <v>19.510000000000002</v>
      </c>
      <c r="BC29" s="28">
        <v>19.489999999999998</v>
      </c>
      <c r="BD29" s="28">
        <v>19.162275946720278</v>
      </c>
    </row>
    <row r="31" spans="1:56" x14ac:dyDescent="0.25">
      <c r="A31" s="125" t="s">
        <v>31</v>
      </c>
      <c r="B31" s="125"/>
      <c r="AX31" s="38"/>
      <c r="AY31" s="38"/>
      <c r="AZ31" s="38"/>
    </row>
    <row r="32" spans="1:56" x14ac:dyDescent="0.25">
      <c r="A32" s="79">
        <v>1</v>
      </c>
      <c r="B32" s="14" t="s">
        <v>269</v>
      </c>
      <c r="AX32" s="38"/>
      <c r="AY32" s="38"/>
      <c r="AZ32" s="38"/>
    </row>
    <row r="33" spans="1:52" x14ac:dyDescent="0.25">
      <c r="A33" s="79" t="s">
        <v>270</v>
      </c>
      <c r="B33" s="14" t="s">
        <v>271</v>
      </c>
      <c r="AX33" s="38"/>
      <c r="AY33" s="38"/>
      <c r="AZ33" s="38"/>
    </row>
    <row r="34" spans="1:52" x14ac:dyDescent="0.25">
      <c r="A34" s="79">
        <v>4</v>
      </c>
      <c r="B34" s="14" t="s">
        <v>272</v>
      </c>
    </row>
    <row r="35" spans="1:52" x14ac:dyDescent="0.25">
      <c r="A35" s="79">
        <v>5</v>
      </c>
      <c r="B35" s="14" t="s">
        <v>273</v>
      </c>
    </row>
    <row r="36" spans="1:52" x14ac:dyDescent="0.25">
      <c r="A36" s="79">
        <v>6</v>
      </c>
      <c r="B36" s="14" t="s">
        <v>274</v>
      </c>
    </row>
    <row r="37" spans="1:52" x14ac:dyDescent="0.25">
      <c r="A37" s="79">
        <v>7</v>
      </c>
      <c r="B37" s="14" t="s">
        <v>45</v>
      </c>
    </row>
    <row r="38" spans="1:52" x14ac:dyDescent="0.25">
      <c r="A38" s="79">
        <v>8</v>
      </c>
      <c r="B38" s="14" t="s">
        <v>275</v>
      </c>
    </row>
    <row r="39" spans="1:52" x14ac:dyDescent="0.25">
      <c r="A39" s="79">
        <v>9</v>
      </c>
      <c r="B39" s="14" t="s">
        <v>276</v>
      </c>
    </row>
    <row r="40" spans="1:52" x14ac:dyDescent="0.25">
      <c r="A40" s="79">
        <v>10</v>
      </c>
      <c r="B40" s="14" t="s">
        <v>277</v>
      </c>
    </row>
    <row r="41" spans="1:52" x14ac:dyDescent="0.25">
      <c r="A41" s="79">
        <v>11</v>
      </c>
      <c r="B41" s="14" t="s">
        <v>277</v>
      </c>
    </row>
    <row r="42" spans="1:52" x14ac:dyDescent="0.25">
      <c r="A42" s="79">
        <v>12</v>
      </c>
      <c r="B42" s="14" t="s">
        <v>277</v>
      </c>
    </row>
    <row r="43" spans="1:52" x14ac:dyDescent="0.25">
      <c r="A43" s="79">
        <v>13</v>
      </c>
      <c r="B43" s="14" t="s">
        <v>278</v>
      </c>
    </row>
    <row r="44" spans="1:52" x14ac:dyDescent="0.25">
      <c r="A44" s="79">
        <v>14</v>
      </c>
      <c r="B44" s="14" t="s">
        <v>277</v>
      </c>
    </row>
    <row r="47" spans="1:52" ht="14" x14ac:dyDescent="0.3">
      <c r="A47" s="125" t="s">
        <v>157</v>
      </c>
      <c r="B47" s="130"/>
    </row>
    <row r="48" spans="1:52" x14ac:dyDescent="0.25">
      <c r="A48" s="139" t="s">
        <v>279</v>
      </c>
      <c r="B48" s="139"/>
      <c r="C48" s="139"/>
      <c r="D48" s="139"/>
      <c r="E48" s="139"/>
      <c r="F48" s="139"/>
    </row>
    <row r="51" spans="1:11" ht="14" x14ac:dyDescent="0.3">
      <c r="A51" s="125" t="s">
        <v>159</v>
      </c>
      <c r="B51" s="130"/>
    </row>
    <row r="52" spans="1:11" ht="261" customHeight="1" x14ac:dyDescent="0.25">
      <c r="A52" s="137" t="s">
        <v>280</v>
      </c>
      <c r="B52" s="137"/>
      <c r="C52" s="137"/>
      <c r="D52" s="137"/>
      <c r="E52" s="137"/>
      <c r="F52" s="137"/>
      <c r="G52" s="62"/>
      <c r="H52" s="62"/>
      <c r="I52" s="62"/>
      <c r="J52" s="62"/>
      <c r="K52" s="62"/>
    </row>
    <row r="55" spans="1:11" ht="14" x14ac:dyDescent="0.3">
      <c r="A55" s="125" t="s">
        <v>161</v>
      </c>
      <c r="B55" s="130"/>
    </row>
    <row r="56" spans="1:11" ht="78" customHeight="1" x14ac:dyDescent="0.25">
      <c r="A56" s="133"/>
      <c r="B56" s="136"/>
      <c r="C56" s="136"/>
      <c r="D56" s="136"/>
      <c r="E56" s="136"/>
      <c r="F56" s="136"/>
      <c r="G56" s="136"/>
      <c r="H56" s="136"/>
      <c r="I56" s="136"/>
      <c r="J56" s="136"/>
      <c r="K56" s="136"/>
    </row>
    <row r="58" spans="1:11" ht="14" x14ac:dyDescent="0.3">
      <c r="A58" s="125" t="s">
        <v>162</v>
      </c>
      <c r="B58" s="130"/>
    </row>
    <row r="59" spans="1:11" ht="110" customHeight="1" x14ac:dyDescent="0.25">
      <c r="A59" s="133"/>
      <c r="B59" s="133"/>
      <c r="C59" s="133"/>
      <c r="D59" s="133"/>
      <c r="E59" s="133"/>
      <c r="F59" s="133"/>
      <c r="G59" s="133"/>
      <c r="H59" s="133"/>
      <c r="I59" s="133"/>
      <c r="J59" s="133"/>
      <c r="K59" s="133"/>
    </row>
    <row r="61" spans="1:11" customFormat="1" x14ac:dyDescent="0.3"/>
    <row r="62" spans="1:11" customFormat="1" x14ac:dyDescent="0.3"/>
    <row r="63" spans="1:11" customFormat="1" ht="180.75" customHeight="1" x14ac:dyDescent="0.3"/>
    <row r="66" spans="1:1" ht="15.75" customHeight="1" x14ac:dyDescent="0.25">
      <c r="A66" s="85"/>
    </row>
  </sheetData>
  <mergeCells count="11">
    <mergeCell ref="A51:B51"/>
    <mergeCell ref="A7:B7"/>
    <mergeCell ref="A15:B15"/>
    <mergeCell ref="A31:B31"/>
    <mergeCell ref="A47:B47"/>
    <mergeCell ref="A48:F48"/>
    <mergeCell ref="A52:F52"/>
    <mergeCell ref="A55:B55"/>
    <mergeCell ref="A56:K56"/>
    <mergeCell ref="A58:B58"/>
    <mergeCell ref="A59:K59"/>
  </mergeCells>
  <pageMargins left="0.75000000000000011" right="0.75000000000000011" top="1" bottom="1" header="0.5" footer="0.5"/>
  <pageSetup orientation="portrait" horizontalDpi="4294967292" verticalDpi="429496729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74"/>
  <sheetViews>
    <sheetView zoomScale="80" zoomScaleNormal="80" workbookViewId="0">
      <pane xSplit="2" ySplit="2" topLeftCell="G36" activePane="bottomRight" state="frozen"/>
      <selection activeCell="A42" sqref="A42:F42"/>
      <selection pane="topRight" activeCell="A42" sqref="A42:F42"/>
      <selection pane="bottomLeft" activeCell="A42" sqref="A42:F42"/>
      <selection pane="bottomRight" activeCell="A41" sqref="A41:K41"/>
    </sheetView>
  </sheetViews>
  <sheetFormatPr defaultColWidth="11" defaultRowHeight="13.5" x14ac:dyDescent="0.25"/>
  <cols>
    <col min="1" max="1" width="10.53515625" style="14" customWidth="1"/>
    <col min="2" max="2" width="65.53515625" style="14" customWidth="1"/>
    <col min="3" max="27" width="11.3046875" style="14" bestFit="1" customWidth="1"/>
    <col min="28" max="39" width="11.84375" style="14" bestFit="1" customWidth="1"/>
    <col min="40" max="52" width="12.3828125" style="14" bestFit="1" customWidth="1"/>
    <col min="53" max="53" width="11.84375" style="14" bestFit="1" customWidth="1"/>
    <col min="54" max="56" width="11.84375" style="14" customWidth="1"/>
    <col min="57" max="16384" width="11" style="14"/>
  </cols>
  <sheetData>
    <row r="1" spans="1:56" s="3" customFormat="1" ht="18" thickBot="1" x14ac:dyDescent="0.4">
      <c r="A1" s="2" t="s">
        <v>281</v>
      </c>
      <c r="B1" s="2"/>
      <c r="C1" s="2"/>
      <c r="D1" s="2"/>
      <c r="E1" s="2"/>
    </row>
    <row r="2" spans="1:56" s="7" customFormat="1" ht="14" thickTop="1" x14ac:dyDescent="0.25">
      <c r="B2" s="6" t="s">
        <v>57</v>
      </c>
      <c r="C2" s="7">
        <v>1960</v>
      </c>
      <c r="D2" s="7">
        <v>1961</v>
      </c>
      <c r="E2" s="7">
        <v>1962</v>
      </c>
      <c r="F2" s="7">
        <v>1963</v>
      </c>
      <c r="G2" s="7">
        <v>1964</v>
      </c>
      <c r="H2" s="7">
        <v>1965</v>
      </c>
      <c r="I2" s="7">
        <v>1966</v>
      </c>
      <c r="J2" s="7">
        <v>1967</v>
      </c>
      <c r="K2" s="7">
        <v>1968</v>
      </c>
      <c r="L2" s="7">
        <v>1969</v>
      </c>
      <c r="M2" s="7">
        <v>1970</v>
      </c>
      <c r="N2" s="7">
        <v>1971</v>
      </c>
      <c r="O2" s="7">
        <v>1972</v>
      </c>
      <c r="P2" s="7">
        <v>1973</v>
      </c>
      <c r="Q2" s="7">
        <v>1974</v>
      </c>
      <c r="R2" s="7">
        <v>1975</v>
      </c>
      <c r="S2" s="7">
        <v>1976</v>
      </c>
      <c r="T2" s="7">
        <v>1977</v>
      </c>
      <c r="U2" s="7">
        <v>1978</v>
      </c>
      <c r="V2" s="7">
        <v>1979</v>
      </c>
      <c r="W2" s="7">
        <v>1980</v>
      </c>
      <c r="X2" s="7">
        <v>1981</v>
      </c>
      <c r="Y2" s="7">
        <v>1982</v>
      </c>
      <c r="Z2" s="7">
        <v>1983</v>
      </c>
      <c r="AA2" s="7">
        <v>1984</v>
      </c>
      <c r="AB2" s="7">
        <v>1985</v>
      </c>
      <c r="AC2" s="7">
        <v>1986</v>
      </c>
      <c r="AD2" s="7">
        <v>1987</v>
      </c>
      <c r="AE2" s="7">
        <v>1988</v>
      </c>
      <c r="AF2" s="7">
        <v>1989</v>
      </c>
      <c r="AG2" s="7">
        <v>1990</v>
      </c>
      <c r="AH2" s="7">
        <v>1991</v>
      </c>
      <c r="AI2" s="7">
        <v>1992</v>
      </c>
      <c r="AJ2" s="7">
        <v>1993</v>
      </c>
      <c r="AK2" s="7">
        <v>1994</v>
      </c>
      <c r="AL2" s="7">
        <v>1995</v>
      </c>
      <c r="AM2" s="7">
        <v>1996</v>
      </c>
      <c r="AN2" s="7">
        <v>1997</v>
      </c>
      <c r="AO2" s="7">
        <v>1998</v>
      </c>
      <c r="AP2" s="7">
        <v>1999</v>
      </c>
      <c r="AQ2" s="7">
        <v>2000</v>
      </c>
      <c r="AR2" s="7">
        <v>2001</v>
      </c>
      <c r="AS2" s="7">
        <v>2002</v>
      </c>
      <c r="AT2" s="7">
        <v>2003</v>
      </c>
      <c r="AU2" s="7">
        <v>2004</v>
      </c>
      <c r="AV2" s="7">
        <v>2005</v>
      </c>
      <c r="AW2" s="7">
        <v>2006</v>
      </c>
      <c r="AX2" s="7">
        <v>2007</v>
      </c>
      <c r="AY2" s="7">
        <v>2008</v>
      </c>
      <c r="AZ2" s="7">
        <v>2009</v>
      </c>
      <c r="BA2" s="7">
        <v>2010</v>
      </c>
      <c r="BB2" s="7">
        <v>2011</v>
      </c>
      <c r="BC2" s="7">
        <v>2012</v>
      </c>
      <c r="BD2" s="7">
        <v>2013</v>
      </c>
    </row>
    <row r="3" spans="1:56" s="60" customFormat="1" x14ac:dyDescent="0.25">
      <c r="A3" s="13">
        <v>1</v>
      </c>
      <c r="B3" s="60" t="s">
        <v>282</v>
      </c>
      <c r="C3" s="60">
        <v>3.182202254524253</v>
      </c>
      <c r="D3" s="60">
        <v>3.3564625398987302</v>
      </c>
      <c r="E3" s="60">
        <v>3.5364727657646706</v>
      </c>
      <c r="F3" s="60">
        <v>3.7485005645253229</v>
      </c>
      <c r="G3" s="60">
        <v>4.009295826254915</v>
      </c>
      <c r="H3" s="60">
        <v>4.2580432818314327</v>
      </c>
      <c r="I3" s="60">
        <v>4.5167816781289547</v>
      </c>
      <c r="J3" s="60">
        <v>4.7663734756485203</v>
      </c>
      <c r="K3" s="60">
        <v>4.9789374815819896</v>
      </c>
      <c r="L3" s="60">
        <v>5.1904353938830612</v>
      </c>
      <c r="M3" s="60">
        <v>5.3990479005921017</v>
      </c>
      <c r="N3" s="60">
        <v>5.6625541258052614</v>
      </c>
      <c r="O3" s="60">
        <v>5.9879813672035951</v>
      </c>
      <c r="P3" s="60">
        <v>6.262324968684057</v>
      </c>
      <c r="Q3" s="60">
        <v>6.4943215206376363</v>
      </c>
      <c r="R3" s="60">
        <v>6.7221517489237623</v>
      </c>
      <c r="S3" s="60">
        <v>6.9502865206657845</v>
      </c>
      <c r="T3" s="60">
        <v>7.1664989800788783</v>
      </c>
      <c r="U3" s="60">
        <v>7.3962608034324875</v>
      </c>
      <c r="V3" s="60">
        <v>7.6187128788829126</v>
      </c>
      <c r="W3" s="60">
        <v>7.8294104228898327</v>
      </c>
      <c r="X3" s="60">
        <v>8.2785961727846473</v>
      </c>
      <c r="Y3" s="60">
        <v>8.7398433075060886</v>
      </c>
      <c r="Z3" s="60">
        <v>9.2131518270541459</v>
      </c>
      <c r="AA3" s="60">
        <v>9.6985217314288299</v>
      </c>
      <c r="AB3" s="60">
        <v>10.195953020630133</v>
      </c>
      <c r="AC3" s="60">
        <v>10.70544569465806</v>
      </c>
      <c r="AD3" s="60">
        <v>11.226999753512608</v>
      </c>
      <c r="AE3" s="60">
        <v>11.760615197193777</v>
      </c>
      <c r="AF3" s="60">
        <v>12.30629202570157</v>
      </c>
      <c r="AG3" s="60">
        <v>12.864030239035978</v>
      </c>
      <c r="AH3" s="60">
        <v>13.310874736855993</v>
      </c>
      <c r="AI3" s="60">
        <v>13.765307292150261</v>
      </c>
      <c r="AJ3" s="60">
        <v>14.22732790491879</v>
      </c>
      <c r="AK3" s="60">
        <v>14.696936575161574</v>
      </c>
      <c r="AL3" s="60">
        <v>15.174133302878619</v>
      </c>
      <c r="AM3" s="60">
        <v>15.658918088069919</v>
      </c>
      <c r="AN3" s="60">
        <v>16.151290930735478</v>
      </c>
      <c r="AO3" s="60">
        <v>16.651251830875296</v>
      </c>
      <c r="AP3" s="60">
        <v>17.158800788489369</v>
      </c>
      <c r="AQ3" s="60">
        <v>17.673937803577708</v>
      </c>
      <c r="AR3" s="60">
        <v>18.268939785233361</v>
      </c>
      <c r="AS3" s="60">
        <v>18.368137059132234</v>
      </c>
      <c r="AT3" s="60">
        <v>18.907928956530196</v>
      </c>
      <c r="AU3" s="60">
        <v>19.412811334261825</v>
      </c>
      <c r="AV3" s="60">
        <v>19.898329622206202</v>
      </c>
      <c r="AW3" s="60">
        <v>20.348614132099989</v>
      </c>
      <c r="AX3" s="60">
        <v>20.468513844013273</v>
      </c>
      <c r="AY3" s="60">
        <v>20.882698736979382</v>
      </c>
      <c r="AZ3" s="60">
        <v>21.04007357678546</v>
      </c>
      <c r="BA3" s="60">
        <f t="shared" ref="BA3:BC4" si="0">BA14</f>
        <v>21.268466177078761</v>
      </c>
      <c r="BB3" s="60">
        <f t="shared" si="0"/>
        <v>21.531405231134745</v>
      </c>
      <c r="BC3" s="60">
        <f t="shared" si="0"/>
        <v>21.985598089425963</v>
      </c>
      <c r="BD3" s="60">
        <f>BD14</f>
        <v>22.27199222192634</v>
      </c>
    </row>
    <row r="4" spans="1:56" s="86" customFormat="1" x14ac:dyDescent="0.25">
      <c r="A4" s="13">
        <v>2</v>
      </c>
      <c r="B4" s="86" t="s">
        <v>283</v>
      </c>
      <c r="C4" s="86">
        <v>11.053601993592025</v>
      </c>
      <c r="D4" s="86">
        <v>11.427638020647917</v>
      </c>
      <c r="E4" s="86">
        <v>11.801674047703809</v>
      </c>
      <c r="F4" s="86">
        <v>12.175710074759701</v>
      </c>
      <c r="G4" s="86">
        <v>12.549746101815593</v>
      </c>
      <c r="H4" s="86">
        <v>12.923782128871485</v>
      </c>
      <c r="I4" s="86">
        <v>13.297818155927377</v>
      </c>
      <c r="J4" s="86">
        <v>13.671854182983269</v>
      </c>
      <c r="K4" s="86">
        <v>14.045890210039161</v>
      </c>
      <c r="L4" s="86">
        <v>14.419926237095053</v>
      </c>
      <c r="M4" s="86">
        <v>14.793962264150943</v>
      </c>
      <c r="N4" s="86">
        <v>15.29456603773585</v>
      </c>
      <c r="O4" s="86">
        <v>15.795169811320756</v>
      </c>
      <c r="P4" s="86">
        <v>16.29577358490566</v>
      </c>
      <c r="Q4" s="86">
        <v>16.796377358490567</v>
      </c>
      <c r="R4" s="86">
        <v>17.296981132075473</v>
      </c>
      <c r="S4" s="86">
        <v>17.797584905660379</v>
      </c>
      <c r="T4" s="86">
        <v>18.298188679245285</v>
      </c>
      <c r="U4" s="86">
        <v>18.798792452830192</v>
      </c>
      <c r="V4" s="86">
        <v>19.299396226415098</v>
      </c>
      <c r="W4" s="86">
        <v>19.8</v>
      </c>
      <c r="X4" s="86">
        <v>20.47</v>
      </c>
      <c r="Y4" s="86">
        <v>21.14</v>
      </c>
      <c r="Z4" s="86">
        <v>21.810000000000002</v>
      </c>
      <c r="AA4" s="86">
        <v>22.480000000000004</v>
      </c>
      <c r="AB4" s="86">
        <v>23.150000000000006</v>
      </c>
      <c r="AC4" s="86">
        <v>23.820000000000007</v>
      </c>
      <c r="AD4" s="86">
        <v>24.490000000000009</v>
      </c>
      <c r="AE4" s="86">
        <v>25.160000000000011</v>
      </c>
      <c r="AF4" s="86">
        <v>25.830000000000013</v>
      </c>
      <c r="AG4" s="86">
        <v>26.5</v>
      </c>
      <c r="AH4" s="86">
        <v>26.99</v>
      </c>
      <c r="AI4" s="86">
        <v>27.479999999999997</v>
      </c>
      <c r="AJ4" s="86">
        <v>27.969999999999995</v>
      </c>
      <c r="AK4" s="86">
        <v>28.459999999999994</v>
      </c>
      <c r="AL4" s="86">
        <v>28.949999999999992</v>
      </c>
      <c r="AM4" s="86">
        <v>29.439999999999991</v>
      </c>
      <c r="AN4" s="86">
        <v>29.929999999999989</v>
      </c>
      <c r="AO4" s="86">
        <v>30.419999999999987</v>
      </c>
      <c r="AP4" s="86">
        <v>30.909999999999986</v>
      </c>
      <c r="AQ4" s="86">
        <f t="shared" ref="AQ4:AZ4" si="1">AQ15</f>
        <v>31.4</v>
      </c>
      <c r="AR4" s="86">
        <f t="shared" si="1"/>
        <v>31.875</v>
      </c>
      <c r="AS4" s="86">
        <f t="shared" si="1"/>
        <v>32.35</v>
      </c>
      <c r="AT4" s="86">
        <f t="shared" si="1"/>
        <v>32.825000000000003</v>
      </c>
      <c r="AU4" s="86">
        <f t="shared" si="1"/>
        <v>33.300000000000004</v>
      </c>
      <c r="AV4" s="86">
        <f t="shared" si="1"/>
        <v>33.775000000000006</v>
      </c>
      <c r="AW4" s="86">
        <f t="shared" si="1"/>
        <v>34.250000000000007</v>
      </c>
      <c r="AX4" s="86">
        <f t="shared" si="1"/>
        <v>34.725000000000009</v>
      </c>
      <c r="AY4" s="86">
        <f t="shared" si="1"/>
        <v>35.200000000000003</v>
      </c>
      <c r="AZ4" s="86">
        <f t="shared" si="1"/>
        <v>35.299999999999997</v>
      </c>
      <c r="BA4" s="86">
        <f t="shared" si="0"/>
        <v>35.6</v>
      </c>
      <c r="BB4" s="86">
        <f t="shared" si="0"/>
        <v>35.700000000000003</v>
      </c>
      <c r="BC4" s="86">
        <f t="shared" si="0"/>
        <v>36.1</v>
      </c>
      <c r="BD4" s="86">
        <f>BD15</f>
        <v>36.299999999999997</v>
      </c>
    </row>
    <row r="5" spans="1:56" s="73" customFormat="1" x14ac:dyDescent="0.25">
      <c r="A5" s="13">
        <v>3</v>
      </c>
      <c r="B5" s="73" t="s">
        <v>284</v>
      </c>
      <c r="C5" s="73">
        <v>198.88764090776581</v>
      </c>
      <c r="D5" s="73">
        <v>209.77890874367066</v>
      </c>
      <c r="E5" s="73">
        <v>221.0295478602919</v>
      </c>
      <c r="F5" s="73">
        <v>234.2812852828327</v>
      </c>
      <c r="G5" s="73">
        <v>250.58098914093219</v>
      </c>
      <c r="H5" s="73">
        <v>266.12770511446456</v>
      </c>
      <c r="I5" s="73">
        <v>282.29885488305968</v>
      </c>
      <c r="J5" s="73">
        <v>297.89834222803256</v>
      </c>
      <c r="K5" s="73">
        <v>311.18359259887438</v>
      </c>
      <c r="L5" s="73">
        <v>324.40221211769136</v>
      </c>
      <c r="M5" s="73">
        <v>337.44049378700635</v>
      </c>
      <c r="N5" s="73">
        <v>353.90963286282886</v>
      </c>
      <c r="O5" s="73">
        <v>374.2488354502247</v>
      </c>
      <c r="P5" s="73">
        <v>391.39531054275358</v>
      </c>
      <c r="Q5" s="73">
        <v>405.89509503985227</v>
      </c>
      <c r="R5" s="73">
        <v>420.13448430773519</v>
      </c>
      <c r="S5" s="73">
        <v>434.39290754161152</v>
      </c>
      <c r="T5" s="73">
        <v>447.90618625492988</v>
      </c>
      <c r="U5" s="73">
        <v>462.26630021453047</v>
      </c>
      <c r="V5" s="73">
        <v>476.16955493018207</v>
      </c>
      <c r="W5" s="73">
        <v>489.33815143061452</v>
      </c>
      <c r="X5" s="73">
        <v>517.4122607990405</v>
      </c>
      <c r="Y5" s="73">
        <v>546.24020671913047</v>
      </c>
      <c r="Z5" s="73">
        <v>575.82198919088421</v>
      </c>
      <c r="AA5" s="73">
        <v>606.15760821430183</v>
      </c>
      <c r="AB5" s="73">
        <v>637.24706378938345</v>
      </c>
      <c r="AC5" s="73">
        <v>669.09035591612871</v>
      </c>
      <c r="AD5" s="73">
        <v>701.68748459453798</v>
      </c>
      <c r="AE5" s="73">
        <v>735.03844982461112</v>
      </c>
      <c r="AF5" s="73">
        <v>769.14325160634803</v>
      </c>
      <c r="AG5" s="73">
        <v>804.00188993974871</v>
      </c>
      <c r="AH5" s="73">
        <v>831.92967105349953</v>
      </c>
      <c r="AI5" s="73">
        <v>860.3317057593913</v>
      </c>
      <c r="AJ5" s="73">
        <v>889.20799405742434</v>
      </c>
      <c r="AK5" s="73">
        <v>918.55853594759844</v>
      </c>
      <c r="AL5" s="73">
        <v>948.38333142991371</v>
      </c>
      <c r="AM5" s="73">
        <v>978.68238050436992</v>
      </c>
      <c r="AN5" s="73">
        <v>1009.4556831709674</v>
      </c>
      <c r="AO5" s="73">
        <v>1040.7032394297059</v>
      </c>
      <c r="AP5" s="73">
        <v>1072.4250492805854</v>
      </c>
      <c r="AQ5" s="73">
        <v>1104.6211127236065</v>
      </c>
      <c r="AR5" s="73">
        <v>1141.808736577085</v>
      </c>
      <c r="AS5" s="73">
        <v>1148.0085661957646</v>
      </c>
      <c r="AT5" s="73">
        <v>1181.7455597831372</v>
      </c>
      <c r="AU5" s="73">
        <v>1213.300708391364</v>
      </c>
      <c r="AV5" s="73">
        <v>1243.6456013878874</v>
      </c>
      <c r="AW5" s="73">
        <v>1271.7883832562493</v>
      </c>
      <c r="AX5" s="73">
        <v>1279.2821152508295</v>
      </c>
      <c r="AY5" s="73">
        <v>1305.1686710612112</v>
      </c>
      <c r="AZ5" s="73">
        <v>1315.0045985490913</v>
      </c>
      <c r="BA5" s="73">
        <f>BA19</f>
        <v>1329.2791360674225</v>
      </c>
      <c r="BB5" s="73">
        <f>BB19</f>
        <v>1345.7128269459217</v>
      </c>
      <c r="BC5" s="73">
        <f>BC19</f>
        <v>1374.0998805891227</v>
      </c>
      <c r="BD5" s="73">
        <f>BD19</f>
        <v>1391.9995138703962</v>
      </c>
    </row>
    <row r="7" spans="1:56" x14ac:dyDescent="0.25">
      <c r="A7" s="125" t="s">
        <v>5</v>
      </c>
      <c r="B7" s="125"/>
      <c r="AQ7" s="140"/>
      <c r="AR7" s="140"/>
      <c r="AS7" s="140"/>
      <c r="AT7" s="140"/>
      <c r="AU7" s="140"/>
      <c r="AV7" s="140"/>
      <c r="AW7" s="140"/>
      <c r="AX7" s="140"/>
      <c r="AY7" s="140"/>
      <c r="AZ7" s="140"/>
    </row>
    <row r="8" spans="1:56" ht="14" customHeight="1" x14ac:dyDescent="0.3">
      <c r="A8" s="14">
        <v>1</v>
      </c>
      <c r="B8" s="14" t="s">
        <v>285</v>
      </c>
      <c r="AQ8" s="87"/>
      <c r="AR8" s="88"/>
      <c r="AS8" s="88"/>
      <c r="AT8" s="88"/>
      <c r="AU8" s="88"/>
      <c r="AV8" s="88"/>
      <c r="AW8" s="88"/>
      <c r="AX8" s="88"/>
      <c r="AY8" s="88"/>
      <c r="AZ8" s="88"/>
    </row>
    <row r="9" spans="1:56" customFormat="1" ht="14" x14ac:dyDescent="0.3">
      <c r="A9" s="14">
        <v>2</v>
      </c>
      <c r="B9" s="14" t="s">
        <v>286</v>
      </c>
    </row>
    <row r="10" spans="1:56" x14ac:dyDescent="0.25">
      <c r="A10" s="14">
        <v>3</v>
      </c>
      <c r="B10" s="14" t="s">
        <v>287</v>
      </c>
    </row>
    <row r="11" spans="1:56" customFormat="1" x14ac:dyDescent="0.3"/>
    <row r="12" spans="1:56" customFormat="1" x14ac:dyDescent="0.3"/>
    <row r="13" spans="1:56" customFormat="1" ht="14" x14ac:dyDescent="0.3">
      <c r="A13" s="125" t="s">
        <v>10</v>
      </c>
      <c r="B13" s="125"/>
    </row>
    <row r="14" spans="1:56" s="18" customFormat="1" x14ac:dyDescent="0.25">
      <c r="A14" s="18">
        <v>1</v>
      </c>
      <c r="B14" s="18" t="s">
        <v>288</v>
      </c>
      <c r="C14" s="18">
        <f>C19*16000/1000000</f>
        <v>3.182202254524253</v>
      </c>
      <c r="D14" s="18">
        <f t="shared" ref="D14:BD14" si="2">D19*16000/1000000</f>
        <v>3.3564625398987302</v>
      </c>
      <c r="E14" s="18">
        <f t="shared" si="2"/>
        <v>3.5364727657646706</v>
      </c>
      <c r="F14" s="18">
        <f t="shared" si="2"/>
        <v>3.7485005645253229</v>
      </c>
      <c r="G14" s="18">
        <f t="shared" si="2"/>
        <v>4.009295826254915</v>
      </c>
      <c r="H14" s="18">
        <f t="shared" si="2"/>
        <v>4.2580432818314327</v>
      </c>
      <c r="I14" s="18">
        <f t="shared" si="2"/>
        <v>4.5167816781289547</v>
      </c>
      <c r="J14" s="18">
        <f t="shared" si="2"/>
        <v>4.7663734756485203</v>
      </c>
      <c r="K14" s="18">
        <f t="shared" si="2"/>
        <v>4.9789374815819896</v>
      </c>
      <c r="L14" s="18">
        <f t="shared" si="2"/>
        <v>5.1904353938830612</v>
      </c>
      <c r="M14" s="18">
        <f t="shared" si="2"/>
        <v>5.3990479005921017</v>
      </c>
      <c r="N14" s="18">
        <f t="shared" si="2"/>
        <v>5.6625541258052614</v>
      </c>
      <c r="O14" s="18">
        <f t="shared" si="2"/>
        <v>5.9879813672035951</v>
      </c>
      <c r="P14" s="18">
        <f t="shared" si="2"/>
        <v>6.262324968684057</v>
      </c>
      <c r="Q14" s="18">
        <f t="shared" si="2"/>
        <v>6.4943215206376363</v>
      </c>
      <c r="R14" s="18">
        <f t="shared" si="2"/>
        <v>6.7221517489237623</v>
      </c>
      <c r="S14" s="18">
        <f t="shared" si="2"/>
        <v>6.9502865206657845</v>
      </c>
      <c r="T14" s="18">
        <f t="shared" si="2"/>
        <v>7.1664989800788783</v>
      </c>
      <c r="U14" s="18">
        <f t="shared" si="2"/>
        <v>7.3962608034324875</v>
      </c>
      <c r="V14" s="18">
        <f t="shared" si="2"/>
        <v>7.6187128788829126</v>
      </c>
      <c r="W14" s="18">
        <f t="shared" si="2"/>
        <v>7.8294104228898327</v>
      </c>
      <c r="X14" s="18">
        <f t="shared" si="2"/>
        <v>8.2785961727846473</v>
      </c>
      <c r="Y14" s="18">
        <f t="shared" si="2"/>
        <v>8.7398433075060886</v>
      </c>
      <c r="Z14" s="18">
        <f t="shared" si="2"/>
        <v>9.2131518270541459</v>
      </c>
      <c r="AA14" s="18">
        <f t="shared" si="2"/>
        <v>9.6985217314288299</v>
      </c>
      <c r="AB14" s="18">
        <f t="shared" si="2"/>
        <v>10.195953020630133</v>
      </c>
      <c r="AC14" s="18">
        <f t="shared" si="2"/>
        <v>10.70544569465806</v>
      </c>
      <c r="AD14" s="18">
        <f t="shared" si="2"/>
        <v>11.226999753512608</v>
      </c>
      <c r="AE14" s="18">
        <f t="shared" si="2"/>
        <v>11.760615197193777</v>
      </c>
      <c r="AF14" s="18">
        <f t="shared" si="2"/>
        <v>12.30629202570157</v>
      </c>
      <c r="AG14" s="18">
        <f t="shared" si="2"/>
        <v>12.864030239035978</v>
      </c>
      <c r="AH14" s="18">
        <f t="shared" si="2"/>
        <v>13.310874736855993</v>
      </c>
      <c r="AI14" s="18">
        <f t="shared" si="2"/>
        <v>13.765307292150261</v>
      </c>
      <c r="AJ14" s="18">
        <f t="shared" si="2"/>
        <v>14.22732790491879</v>
      </c>
      <c r="AK14" s="18">
        <f t="shared" si="2"/>
        <v>14.696936575161574</v>
      </c>
      <c r="AL14" s="18">
        <f t="shared" si="2"/>
        <v>15.174133302878619</v>
      </c>
      <c r="AM14" s="18">
        <f t="shared" si="2"/>
        <v>15.658918088069919</v>
      </c>
      <c r="AN14" s="18">
        <f t="shared" si="2"/>
        <v>16.151290930735478</v>
      </c>
      <c r="AO14" s="18">
        <f t="shared" si="2"/>
        <v>16.651251830875296</v>
      </c>
      <c r="AP14" s="18">
        <f t="shared" si="2"/>
        <v>17.158800788489369</v>
      </c>
      <c r="AQ14" s="18">
        <f t="shared" si="2"/>
        <v>17.673937803577708</v>
      </c>
      <c r="AR14" s="18">
        <f t="shared" si="2"/>
        <v>18.188103768484542</v>
      </c>
      <c r="AS14" s="18">
        <f t="shared" si="2"/>
        <v>18.208658851775109</v>
      </c>
      <c r="AT14" s="18">
        <f t="shared" si="2"/>
        <v>18.666248661597102</v>
      </c>
      <c r="AU14" s="18">
        <f t="shared" si="2"/>
        <v>19.087990672172801</v>
      </c>
      <c r="AV14" s="18">
        <f t="shared" si="2"/>
        <v>19.489591580184083</v>
      </c>
      <c r="AW14" s="18">
        <f t="shared" si="2"/>
        <v>19.855841425197283</v>
      </c>
      <c r="AX14" s="18">
        <f t="shared" si="2"/>
        <v>20.192305205493209</v>
      </c>
      <c r="AY14" s="18">
        <f t="shared" si="2"/>
        <v>20.5231548313171</v>
      </c>
      <c r="AZ14" s="18">
        <f t="shared" si="2"/>
        <v>20.818909523770895</v>
      </c>
      <c r="BA14" s="18">
        <f t="shared" si="2"/>
        <v>21.268466177078761</v>
      </c>
      <c r="BB14" s="18">
        <f t="shared" si="2"/>
        <v>21.531405231134745</v>
      </c>
      <c r="BC14" s="18">
        <f t="shared" si="2"/>
        <v>21.985598089425963</v>
      </c>
      <c r="BD14" s="18">
        <f t="shared" si="2"/>
        <v>22.27199222192634</v>
      </c>
    </row>
    <row r="15" spans="1:56" s="18" customFormat="1" x14ac:dyDescent="0.25">
      <c r="A15" s="18">
        <v>2</v>
      </c>
      <c r="B15" s="18" t="s">
        <v>289</v>
      </c>
      <c r="C15" s="18">
        <f>M15*M15/W15</f>
        <v>11.053601993592025</v>
      </c>
      <c r="D15" s="18">
        <f>C15+($M15-$C15)/10</f>
        <v>11.427638020647917</v>
      </c>
      <c r="E15" s="18">
        <f t="shared" ref="E15:L15" si="3">D15+($M15-$C15)/10</f>
        <v>11.801674047703809</v>
      </c>
      <c r="F15" s="18">
        <f t="shared" si="3"/>
        <v>12.175710074759701</v>
      </c>
      <c r="G15" s="18">
        <f t="shared" si="3"/>
        <v>12.549746101815593</v>
      </c>
      <c r="H15" s="18">
        <f t="shared" si="3"/>
        <v>12.923782128871485</v>
      </c>
      <c r="I15" s="18">
        <f t="shared" si="3"/>
        <v>13.297818155927377</v>
      </c>
      <c r="J15" s="18">
        <f t="shared" si="3"/>
        <v>13.671854182983269</v>
      </c>
      <c r="K15" s="18">
        <f t="shared" si="3"/>
        <v>14.045890210039161</v>
      </c>
      <c r="L15" s="18">
        <f t="shared" si="3"/>
        <v>14.419926237095053</v>
      </c>
      <c r="M15" s="18">
        <f>19.8*19.8/26.5</f>
        <v>14.793962264150943</v>
      </c>
      <c r="N15" s="18">
        <f>M15+($W15-$M15)/10</f>
        <v>15.29456603773585</v>
      </c>
      <c r="O15" s="18">
        <f t="shared" ref="O15:V15" si="4">N15+($W15-$M15)/10</f>
        <v>15.795169811320756</v>
      </c>
      <c r="P15" s="18">
        <f t="shared" si="4"/>
        <v>16.29577358490566</v>
      </c>
      <c r="Q15" s="18">
        <f t="shared" si="4"/>
        <v>16.796377358490567</v>
      </c>
      <c r="R15" s="18">
        <f t="shared" si="4"/>
        <v>17.296981132075473</v>
      </c>
      <c r="S15" s="18">
        <f t="shared" si="4"/>
        <v>17.797584905660379</v>
      </c>
      <c r="T15" s="18">
        <f t="shared" si="4"/>
        <v>18.298188679245285</v>
      </c>
      <c r="U15" s="18">
        <f t="shared" si="4"/>
        <v>18.798792452830192</v>
      </c>
      <c r="V15" s="18">
        <f t="shared" si="4"/>
        <v>19.299396226415098</v>
      </c>
      <c r="W15" s="18">
        <v>19.8</v>
      </c>
      <c r="X15" s="18">
        <f>W15+($AG15-$W15)/10</f>
        <v>20.47</v>
      </c>
      <c r="Y15" s="18">
        <f t="shared" ref="Y15:AF15" si="5">X15+($AG15-$W15)/10</f>
        <v>21.14</v>
      </c>
      <c r="Z15" s="18">
        <f t="shared" si="5"/>
        <v>21.810000000000002</v>
      </c>
      <c r="AA15" s="18">
        <f t="shared" si="5"/>
        <v>22.480000000000004</v>
      </c>
      <c r="AB15" s="18">
        <f t="shared" si="5"/>
        <v>23.150000000000006</v>
      </c>
      <c r="AC15" s="18">
        <f t="shared" si="5"/>
        <v>23.820000000000007</v>
      </c>
      <c r="AD15" s="18">
        <f t="shared" si="5"/>
        <v>24.490000000000009</v>
      </c>
      <c r="AE15" s="18">
        <f t="shared" si="5"/>
        <v>25.160000000000011</v>
      </c>
      <c r="AF15" s="18">
        <f t="shared" si="5"/>
        <v>25.830000000000013</v>
      </c>
      <c r="AG15" s="18">
        <v>26.5</v>
      </c>
      <c r="AH15" s="18">
        <f>AG15+($AQ15-$AG15)/10</f>
        <v>26.99</v>
      </c>
      <c r="AI15" s="18">
        <f t="shared" ref="AI15:AP15" si="6">AH15+($AQ15-$AG15)/10</f>
        <v>27.479999999999997</v>
      </c>
      <c r="AJ15" s="18">
        <f t="shared" si="6"/>
        <v>27.969999999999995</v>
      </c>
      <c r="AK15" s="18">
        <f t="shared" si="6"/>
        <v>28.459999999999994</v>
      </c>
      <c r="AL15" s="18">
        <f t="shared" si="6"/>
        <v>28.949999999999992</v>
      </c>
      <c r="AM15" s="18">
        <f t="shared" si="6"/>
        <v>29.439999999999991</v>
      </c>
      <c r="AN15" s="18">
        <f t="shared" si="6"/>
        <v>29.929999999999989</v>
      </c>
      <c r="AO15" s="18">
        <f t="shared" si="6"/>
        <v>30.419999999999987</v>
      </c>
      <c r="AP15" s="18">
        <f t="shared" si="6"/>
        <v>30.909999999999986</v>
      </c>
      <c r="AQ15" s="89">
        <v>31.4</v>
      </c>
      <c r="AR15" s="18">
        <f t="shared" ref="AR15:AX15" si="7">AQ15+($AY15-$AQ15)/8</f>
        <v>31.875</v>
      </c>
      <c r="AS15" s="18">
        <f t="shared" si="7"/>
        <v>32.35</v>
      </c>
      <c r="AT15" s="18">
        <f t="shared" si="7"/>
        <v>32.825000000000003</v>
      </c>
      <c r="AU15" s="18">
        <f t="shared" si="7"/>
        <v>33.300000000000004</v>
      </c>
      <c r="AV15" s="18">
        <f t="shared" si="7"/>
        <v>33.775000000000006</v>
      </c>
      <c r="AW15" s="18">
        <f t="shared" si="7"/>
        <v>34.250000000000007</v>
      </c>
      <c r="AX15" s="18">
        <f t="shared" si="7"/>
        <v>34.725000000000009</v>
      </c>
      <c r="AY15" s="90">
        <v>35.200000000000003</v>
      </c>
      <c r="AZ15" s="18">
        <v>35.299999999999997</v>
      </c>
      <c r="BA15" s="18">
        <v>35.6</v>
      </c>
      <c r="BB15" s="18">
        <v>35.700000000000003</v>
      </c>
      <c r="BC15" s="18">
        <v>36.1</v>
      </c>
      <c r="BD15" s="18">
        <v>36.299999999999997</v>
      </c>
    </row>
    <row r="16" spans="1:56" s="21" customFormat="1" x14ac:dyDescent="0.25">
      <c r="A16" s="21">
        <v>3</v>
      </c>
      <c r="B16" s="21" t="s">
        <v>290</v>
      </c>
      <c r="C16" s="21">
        <v>3113</v>
      </c>
      <c r="D16" s="21">
        <v>3176</v>
      </c>
      <c r="E16" s="21">
        <v>3263</v>
      </c>
      <c r="F16" s="21">
        <v>3386</v>
      </c>
      <c r="G16" s="21">
        <v>3492</v>
      </c>
      <c r="H16" s="21">
        <v>3600</v>
      </c>
      <c r="I16" s="21">
        <v>3695</v>
      </c>
      <c r="J16" s="21">
        <v>3757</v>
      </c>
      <c r="K16" s="21">
        <v>3815</v>
      </c>
      <c r="L16" s="21">
        <v>3868</v>
      </c>
      <c r="M16" s="21">
        <v>3924</v>
      </c>
      <c r="N16" s="21">
        <v>4018</v>
      </c>
      <c r="O16" s="21">
        <v>4073</v>
      </c>
      <c r="P16" s="21">
        <v>4098</v>
      </c>
      <c r="Q16" s="21">
        <v>4119</v>
      </c>
      <c r="R16" s="21">
        <v>4139</v>
      </c>
      <c r="S16" s="21">
        <v>4151</v>
      </c>
      <c r="T16" s="21">
        <v>4170</v>
      </c>
      <c r="U16" s="21">
        <v>4184</v>
      </c>
      <c r="V16" s="21">
        <v>4191</v>
      </c>
      <c r="W16" s="21">
        <v>4217</v>
      </c>
      <c r="X16" s="21">
        <v>4262</v>
      </c>
      <c r="Y16" s="21">
        <v>4283</v>
      </c>
      <c r="Z16" s="21">
        <v>4313</v>
      </c>
      <c r="AA16" s="21">
        <v>4365</v>
      </c>
      <c r="AB16" s="21">
        <v>4413</v>
      </c>
      <c r="AC16" s="21">
        <v>4487</v>
      </c>
      <c r="AD16" s="21">
        <v>4566</v>
      </c>
      <c r="AE16" s="21">
        <v>4658</v>
      </c>
      <c r="AF16" s="21">
        <v>4727</v>
      </c>
      <c r="AG16" s="21">
        <v>4781</v>
      </c>
      <c r="AH16" s="21">
        <v>4781</v>
      </c>
      <c r="AI16" s="21">
        <v>4800</v>
      </c>
      <c r="AJ16" s="21">
        <v>4868</v>
      </c>
      <c r="AK16" s="21">
        <v>4923</v>
      </c>
      <c r="AL16" s="21">
        <v>4972</v>
      </c>
      <c r="AM16" s="21">
        <v>5023</v>
      </c>
      <c r="AN16" s="21">
        <v>5070</v>
      </c>
      <c r="AO16" s="21">
        <v>5112</v>
      </c>
      <c r="AP16" s="21">
        <v>5157</v>
      </c>
      <c r="AQ16" s="21">
        <v>5204</v>
      </c>
      <c r="AR16" s="21">
        <v>5255</v>
      </c>
      <c r="AS16" s="21">
        <v>5439</v>
      </c>
      <c r="AT16" s="21">
        <v>5495</v>
      </c>
      <c r="AU16" s="21">
        <v>5539</v>
      </c>
      <c r="AV16" s="21">
        <v>5576</v>
      </c>
      <c r="AW16" s="21">
        <v>5602</v>
      </c>
      <c r="AX16" s="21">
        <v>5619</v>
      </c>
      <c r="AY16" s="21">
        <v>5634</v>
      </c>
      <c r="AZ16" s="21">
        <v>5699</v>
      </c>
      <c r="BA16" s="21">
        <v>5773</v>
      </c>
      <c r="BB16" s="21">
        <v>5828</v>
      </c>
      <c r="BC16" s="21">
        <v>5885</v>
      </c>
      <c r="BD16" s="50">
        <f>[1]POP!BN4</f>
        <v>5928.8140000000003</v>
      </c>
    </row>
    <row r="17" spans="1:56" s="21" customFormat="1" x14ac:dyDescent="0.25">
      <c r="A17" s="21">
        <v>4</v>
      </c>
      <c r="B17" s="21" t="s">
        <v>291</v>
      </c>
      <c r="W17" s="21">
        <v>0.58605757771048705</v>
      </c>
      <c r="AG17" s="21">
        <v>0.63458887178394718</v>
      </c>
      <c r="AS17" s="21">
        <v>0.64679198986536612</v>
      </c>
    </row>
    <row r="18" spans="1:56" s="21" customFormat="1" x14ac:dyDescent="0.25">
      <c r="A18" s="21">
        <v>5</v>
      </c>
      <c r="B18" s="21" t="s">
        <v>292</v>
      </c>
      <c r="C18" s="21">
        <f>D18*C16/D16</f>
        <v>1799.3016305731346</v>
      </c>
      <c r="D18" s="21">
        <f t="shared" ref="D18:U18" si="8">E18*C16/D16</f>
        <v>1835.715380244226</v>
      </c>
      <c r="E18" s="21">
        <f t="shared" si="8"/>
        <v>1872.8660609237591</v>
      </c>
      <c r="F18" s="21">
        <f t="shared" si="8"/>
        <v>1924.1693818621616</v>
      </c>
      <c r="G18" s="21">
        <f t="shared" si="8"/>
        <v>1996.7016631888689</v>
      </c>
      <c r="H18" s="21">
        <f t="shared" si="8"/>
        <v>2059.2091576655434</v>
      </c>
      <c r="I18" s="21">
        <f t="shared" si="8"/>
        <v>2122.8960388304572</v>
      </c>
      <c r="J18" s="21">
        <f t="shared" si="8"/>
        <v>2178.9169065218161</v>
      </c>
      <c r="K18" s="21">
        <f t="shared" si="8"/>
        <v>2215.4778938572294</v>
      </c>
      <c r="L18" s="21">
        <f t="shared" si="8"/>
        <v>2249.6801078161643</v>
      </c>
      <c r="M18" s="21">
        <f t="shared" si="8"/>
        <v>2280.9338550545017</v>
      </c>
      <c r="N18" s="21">
        <f t="shared" si="8"/>
        <v>2313.9566823251976</v>
      </c>
      <c r="O18" s="21">
        <f t="shared" si="8"/>
        <v>2369.3878566724375</v>
      </c>
      <c r="P18" s="21">
        <f t="shared" si="8"/>
        <v>2401.8209905990138</v>
      </c>
      <c r="Q18" s="21">
        <f t="shared" si="8"/>
        <v>2416.5633242020031</v>
      </c>
      <c r="R18" s="21">
        <f t="shared" si="8"/>
        <v>2428.9468844285143</v>
      </c>
      <c r="S18" s="21">
        <f t="shared" si="8"/>
        <v>2440.7407513109056</v>
      </c>
      <c r="T18" s="21">
        <f t="shared" si="8"/>
        <v>2447.8170714403404</v>
      </c>
      <c r="U18" s="21">
        <f t="shared" si="8"/>
        <v>2459.0212449786127</v>
      </c>
      <c r="V18" s="21">
        <f>W18*U16/V16</f>
        <v>2467.276951796287</v>
      </c>
      <c r="W18" s="21">
        <f>W16*W17</f>
        <v>2471.4048052051239</v>
      </c>
      <c r="X18" s="21">
        <f>W18+($AG18-$W18)/10</f>
        <v>2527.6612642845166</v>
      </c>
      <c r="Y18" s="21">
        <f t="shared" ref="Y18:AF18" si="9">X18+($AG18-$W18)/10</f>
        <v>2583.9177233639093</v>
      </c>
      <c r="Z18" s="21">
        <f t="shared" si="9"/>
        <v>2640.174182443302</v>
      </c>
      <c r="AA18" s="21">
        <f t="shared" si="9"/>
        <v>2696.4306415226947</v>
      </c>
      <c r="AB18" s="21">
        <f t="shared" si="9"/>
        <v>2752.6871006020874</v>
      </c>
      <c r="AC18" s="21">
        <f t="shared" si="9"/>
        <v>2808.9435596814801</v>
      </c>
      <c r="AD18" s="21">
        <f t="shared" si="9"/>
        <v>2865.2000187608728</v>
      </c>
      <c r="AE18" s="21">
        <f t="shared" si="9"/>
        <v>2921.4564778402655</v>
      </c>
      <c r="AF18" s="21">
        <f t="shared" si="9"/>
        <v>2977.7129369196582</v>
      </c>
      <c r="AG18" s="21">
        <f>AG16*AG17</f>
        <v>3033.9693959990514</v>
      </c>
      <c r="AH18" s="21">
        <f>AG18+($AS18-$AG18)/10</f>
        <v>3082.3626196869191</v>
      </c>
      <c r="AI18" s="21">
        <f t="shared" ref="AI18:AR18" si="10">AH18+($AS18-$AG18)/10</f>
        <v>3130.7558433747868</v>
      </c>
      <c r="AJ18" s="21">
        <f t="shared" si="10"/>
        <v>3179.1490670626545</v>
      </c>
      <c r="AK18" s="21">
        <f t="shared" si="10"/>
        <v>3227.5422907505222</v>
      </c>
      <c r="AL18" s="21">
        <f t="shared" si="10"/>
        <v>3275.9355144383899</v>
      </c>
      <c r="AM18" s="21">
        <f t="shared" si="10"/>
        <v>3324.3287381262576</v>
      </c>
      <c r="AN18" s="21">
        <f t="shared" si="10"/>
        <v>3372.7219618141253</v>
      </c>
      <c r="AO18" s="21">
        <f t="shared" si="10"/>
        <v>3421.115185501993</v>
      </c>
      <c r="AP18" s="21">
        <f t="shared" si="10"/>
        <v>3469.5084091898607</v>
      </c>
      <c r="AQ18" s="21">
        <f t="shared" si="10"/>
        <v>3517.9016328777284</v>
      </c>
      <c r="AR18" s="21">
        <f t="shared" si="10"/>
        <v>3566.2948565655961</v>
      </c>
      <c r="AS18" s="21">
        <f>AS16*AS17</f>
        <v>3517.9016328777266</v>
      </c>
      <c r="AT18" s="21">
        <f t="shared" ref="AT18:BB18" si="11">AS18*AT16/AS16</f>
        <v>3554.1219843101871</v>
      </c>
      <c r="AU18" s="21">
        <f t="shared" si="11"/>
        <v>3582.5808318642635</v>
      </c>
      <c r="AV18" s="21">
        <f t="shared" si="11"/>
        <v>3606.5121354892822</v>
      </c>
      <c r="AW18" s="21">
        <f t="shared" si="11"/>
        <v>3623.3287272257817</v>
      </c>
      <c r="AX18" s="21">
        <f t="shared" si="11"/>
        <v>3634.3241910534925</v>
      </c>
      <c r="AY18" s="21">
        <f t="shared" si="11"/>
        <v>3644.0260709014733</v>
      </c>
      <c r="AZ18" s="21">
        <f t="shared" si="11"/>
        <v>3686.0675502427221</v>
      </c>
      <c r="BA18" s="21">
        <f t="shared" si="11"/>
        <v>3733.9301574927595</v>
      </c>
      <c r="BB18" s="21">
        <f t="shared" si="11"/>
        <v>3769.5037169353545</v>
      </c>
      <c r="BC18" s="21">
        <f>BB18*BC16/BB16</f>
        <v>3806.3708603576806</v>
      </c>
      <c r="BD18" s="21">
        <f>BC18*BD16/BC16</f>
        <v>3834.7094046016423</v>
      </c>
    </row>
    <row r="19" spans="1:56" s="18" customFormat="1" x14ac:dyDescent="0.25">
      <c r="A19" s="18">
        <v>6</v>
      </c>
      <c r="B19" s="18" t="s">
        <v>293</v>
      </c>
      <c r="C19" s="18">
        <f>C18*C15/100</f>
        <v>198.88764090776581</v>
      </c>
      <c r="D19" s="18">
        <f t="shared" ref="D19:BB19" si="12">D18*D15/100</f>
        <v>209.77890874367066</v>
      </c>
      <c r="E19" s="18">
        <f t="shared" si="12"/>
        <v>221.0295478602919</v>
      </c>
      <c r="F19" s="18">
        <f t="shared" si="12"/>
        <v>234.2812852828327</v>
      </c>
      <c r="G19" s="18">
        <f t="shared" si="12"/>
        <v>250.58098914093219</v>
      </c>
      <c r="H19" s="18">
        <f t="shared" si="12"/>
        <v>266.12770511446456</v>
      </c>
      <c r="I19" s="18">
        <f t="shared" si="12"/>
        <v>282.29885488305968</v>
      </c>
      <c r="J19" s="18">
        <f t="shared" si="12"/>
        <v>297.89834222803256</v>
      </c>
      <c r="K19" s="18">
        <f t="shared" si="12"/>
        <v>311.18359259887438</v>
      </c>
      <c r="L19" s="18">
        <f t="shared" si="12"/>
        <v>324.40221211769136</v>
      </c>
      <c r="M19" s="18">
        <f t="shared" si="12"/>
        <v>337.44049378700635</v>
      </c>
      <c r="N19" s="18">
        <f t="shared" si="12"/>
        <v>353.90963286282886</v>
      </c>
      <c r="O19" s="18">
        <f t="shared" si="12"/>
        <v>374.2488354502247</v>
      </c>
      <c r="P19" s="18">
        <f t="shared" si="12"/>
        <v>391.39531054275358</v>
      </c>
      <c r="Q19" s="18">
        <f t="shared" si="12"/>
        <v>405.89509503985227</v>
      </c>
      <c r="R19" s="18">
        <f t="shared" si="12"/>
        <v>420.13448430773519</v>
      </c>
      <c r="S19" s="18">
        <f t="shared" si="12"/>
        <v>434.39290754161152</v>
      </c>
      <c r="T19" s="18">
        <f t="shared" si="12"/>
        <v>447.90618625492988</v>
      </c>
      <c r="U19" s="18">
        <f t="shared" si="12"/>
        <v>462.26630021453047</v>
      </c>
      <c r="V19" s="18">
        <f t="shared" si="12"/>
        <v>476.16955493018207</v>
      </c>
      <c r="W19" s="18">
        <f t="shared" si="12"/>
        <v>489.33815143061452</v>
      </c>
      <c r="X19" s="18">
        <f t="shared" si="12"/>
        <v>517.4122607990405</v>
      </c>
      <c r="Y19" s="18">
        <f t="shared" si="12"/>
        <v>546.24020671913047</v>
      </c>
      <c r="Z19" s="18">
        <f t="shared" si="12"/>
        <v>575.82198919088421</v>
      </c>
      <c r="AA19" s="18">
        <f t="shared" si="12"/>
        <v>606.15760821430183</v>
      </c>
      <c r="AB19" s="18">
        <f t="shared" si="12"/>
        <v>637.24706378938345</v>
      </c>
      <c r="AC19" s="18">
        <f t="shared" si="12"/>
        <v>669.09035591612871</v>
      </c>
      <c r="AD19" s="18">
        <f t="shared" si="12"/>
        <v>701.68748459453798</v>
      </c>
      <c r="AE19" s="18">
        <f t="shared" si="12"/>
        <v>735.03844982461112</v>
      </c>
      <c r="AF19" s="18">
        <f t="shared" si="12"/>
        <v>769.14325160634803</v>
      </c>
      <c r="AG19" s="18">
        <f t="shared" si="12"/>
        <v>804.00188993974871</v>
      </c>
      <c r="AH19" s="18">
        <f t="shared" si="12"/>
        <v>831.92967105349953</v>
      </c>
      <c r="AI19" s="18">
        <f t="shared" si="12"/>
        <v>860.3317057593913</v>
      </c>
      <c r="AJ19" s="18">
        <f t="shared" si="12"/>
        <v>889.20799405742434</v>
      </c>
      <c r="AK19" s="18">
        <f t="shared" si="12"/>
        <v>918.55853594759844</v>
      </c>
      <c r="AL19" s="18">
        <f t="shared" si="12"/>
        <v>948.38333142991371</v>
      </c>
      <c r="AM19" s="18">
        <f t="shared" si="12"/>
        <v>978.68238050436992</v>
      </c>
      <c r="AN19" s="18">
        <f t="shared" si="12"/>
        <v>1009.4556831709674</v>
      </c>
      <c r="AO19" s="18">
        <f t="shared" si="12"/>
        <v>1040.7032394297059</v>
      </c>
      <c r="AP19" s="18">
        <f t="shared" si="12"/>
        <v>1072.4250492805854</v>
      </c>
      <c r="AQ19" s="18">
        <f t="shared" si="12"/>
        <v>1104.6211127236065</v>
      </c>
      <c r="AR19" s="18">
        <f t="shared" si="12"/>
        <v>1136.7564855302837</v>
      </c>
      <c r="AS19" s="18">
        <f t="shared" si="12"/>
        <v>1138.0411782359445</v>
      </c>
      <c r="AT19" s="18">
        <f t="shared" si="12"/>
        <v>1166.6405413498189</v>
      </c>
      <c r="AU19" s="18">
        <f t="shared" si="12"/>
        <v>1192.9994170108</v>
      </c>
      <c r="AV19" s="18">
        <f t="shared" si="12"/>
        <v>1218.0994737615051</v>
      </c>
      <c r="AW19" s="18">
        <f t="shared" si="12"/>
        <v>1240.9900890748304</v>
      </c>
      <c r="AX19" s="18">
        <f t="shared" si="12"/>
        <v>1262.0190753433255</v>
      </c>
      <c r="AY19" s="18">
        <f t="shared" si="12"/>
        <v>1282.6971769573188</v>
      </c>
      <c r="AZ19" s="18">
        <f t="shared" si="12"/>
        <v>1301.1818452356808</v>
      </c>
      <c r="BA19" s="18">
        <f t="shared" si="12"/>
        <v>1329.2791360674225</v>
      </c>
      <c r="BB19" s="18">
        <f t="shared" si="12"/>
        <v>1345.7128269459217</v>
      </c>
      <c r="BC19" s="18">
        <f>BC18*BC15/100</f>
        <v>1374.0998805891227</v>
      </c>
      <c r="BD19" s="18">
        <f>BD18*BD15/100</f>
        <v>1391.9995138703962</v>
      </c>
    </row>
    <row r="21" spans="1:56" x14ac:dyDescent="0.25">
      <c r="A21" s="125" t="s">
        <v>31</v>
      </c>
      <c r="B21" s="125"/>
    </row>
    <row r="22" spans="1:56" ht="14" x14ac:dyDescent="0.3">
      <c r="A22" s="14">
        <v>1</v>
      </c>
      <c r="B22" s="14" t="s">
        <v>107</v>
      </c>
      <c r="AY22" s="91" t="s">
        <v>294</v>
      </c>
      <c r="AZ22" s="92"/>
      <c r="BA22" s="92"/>
      <c r="BB22" s="92"/>
      <c r="BC22" s="92"/>
    </row>
    <row r="23" spans="1:56" ht="14" x14ac:dyDescent="0.3">
      <c r="A23" s="14">
        <v>2</v>
      </c>
      <c r="B23" s="31" t="s">
        <v>294</v>
      </c>
    </row>
    <row r="24" spans="1:56" x14ac:dyDescent="0.25">
      <c r="A24" s="14">
        <v>3</v>
      </c>
      <c r="B24" s="14" t="s">
        <v>294</v>
      </c>
    </row>
    <row r="25" spans="1:56" x14ac:dyDescent="0.25">
      <c r="A25" s="14">
        <v>4</v>
      </c>
      <c r="B25" s="14" t="s">
        <v>295</v>
      </c>
    </row>
    <row r="26" spans="1:56" x14ac:dyDescent="0.25">
      <c r="A26" s="14">
        <v>5</v>
      </c>
      <c r="B26" s="14" t="s">
        <v>107</v>
      </c>
    </row>
    <row r="27" spans="1:56" x14ac:dyDescent="0.25">
      <c r="A27" s="14">
        <v>6</v>
      </c>
      <c r="B27" s="14" t="s">
        <v>114</v>
      </c>
    </row>
    <row r="29" spans="1:56" x14ac:dyDescent="0.25">
      <c r="A29" s="125" t="s">
        <v>157</v>
      </c>
      <c r="B29" s="125"/>
    </row>
    <row r="30" spans="1:56" x14ac:dyDescent="0.25">
      <c r="A30" s="131" t="s">
        <v>296</v>
      </c>
      <c r="B30" s="131"/>
      <c r="C30" s="131"/>
      <c r="D30" s="131"/>
      <c r="E30" s="131"/>
      <c r="F30" s="131"/>
    </row>
    <row r="33" spans="1:11" x14ac:dyDescent="0.25">
      <c r="A33" s="125" t="s">
        <v>159</v>
      </c>
      <c r="B33" s="125"/>
    </row>
    <row r="34" spans="1:11" ht="117.75" customHeight="1" x14ac:dyDescent="0.25">
      <c r="A34" s="138" t="s">
        <v>297</v>
      </c>
      <c r="B34" s="137"/>
      <c r="C34" s="137"/>
      <c r="D34" s="137"/>
      <c r="E34" s="137"/>
      <c r="F34" s="137"/>
      <c r="G34" s="62"/>
      <c r="H34" s="62"/>
      <c r="I34" s="62"/>
      <c r="J34" s="62"/>
      <c r="K34" s="62"/>
    </row>
    <row r="37" spans="1:11" x14ac:dyDescent="0.25">
      <c r="A37" s="125" t="s">
        <v>161</v>
      </c>
      <c r="B37" s="125"/>
    </row>
    <row r="38" spans="1:11" ht="78" customHeight="1" x14ac:dyDescent="0.25">
      <c r="A38" s="133"/>
      <c r="B38" s="136"/>
      <c r="C38" s="136"/>
      <c r="D38" s="136"/>
      <c r="E38" s="136"/>
      <c r="F38" s="136"/>
      <c r="G38" s="136"/>
      <c r="H38" s="136"/>
      <c r="I38" s="136"/>
      <c r="J38" s="136"/>
      <c r="K38" s="136"/>
    </row>
    <row r="40" spans="1:11" x14ac:dyDescent="0.25">
      <c r="A40" s="125" t="s">
        <v>162</v>
      </c>
      <c r="B40" s="125"/>
    </row>
    <row r="41" spans="1:11" ht="110" customHeight="1" x14ac:dyDescent="0.25">
      <c r="A41" s="133"/>
      <c r="B41" s="133"/>
      <c r="C41" s="133"/>
      <c r="D41" s="133"/>
      <c r="E41" s="133"/>
      <c r="F41" s="133"/>
      <c r="G41" s="133"/>
      <c r="H41" s="133"/>
      <c r="I41" s="133"/>
      <c r="J41" s="133"/>
      <c r="K41" s="133"/>
    </row>
    <row r="43" spans="1:11" ht="14" x14ac:dyDescent="0.3">
      <c r="A43"/>
      <c r="B43"/>
      <c r="C43"/>
      <c r="D43"/>
      <c r="E43"/>
      <c r="F43"/>
      <c r="G43"/>
      <c r="H43"/>
      <c r="I43"/>
      <c r="J43"/>
      <c r="K43"/>
    </row>
    <row r="44" spans="1:11" ht="14" x14ac:dyDescent="0.3">
      <c r="A44"/>
      <c r="B44"/>
      <c r="C44"/>
      <c r="D44"/>
      <c r="E44"/>
      <c r="F44"/>
      <c r="G44"/>
      <c r="H44"/>
      <c r="I44"/>
      <c r="J44"/>
      <c r="K44"/>
    </row>
    <row r="45" spans="1:11" ht="107" customHeight="1" x14ac:dyDescent="0.3">
      <c r="A45"/>
      <c r="B45"/>
      <c r="C45"/>
      <c r="D45"/>
      <c r="E45"/>
      <c r="F45"/>
      <c r="G45"/>
      <c r="H45"/>
      <c r="I45"/>
      <c r="J45"/>
      <c r="K45"/>
    </row>
    <row r="46" spans="1:11" ht="14" x14ac:dyDescent="0.3">
      <c r="A46"/>
      <c r="B46"/>
      <c r="C46"/>
      <c r="D46"/>
      <c r="E46"/>
      <c r="F46"/>
      <c r="G46"/>
      <c r="H46"/>
      <c r="I46"/>
      <c r="J46"/>
      <c r="K46"/>
    </row>
    <row r="47" spans="1:11" ht="14" x14ac:dyDescent="0.3">
      <c r="A47"/>
      <c r="B47"/>
      <c r="C47"/>
      <c r="D47"/>
      <c r="E47"/>
      <c r="F47"/>
      <c r="G47"/>
      <c r="H47"/>
      <c r="I47"/>
      <c r="J47"/>
      <c r="K47"/>
    </row>
    <row r="48" spans="1:11" ht="15.75" customHeight="1" x14ac:dyDescent="0.3">
      <c r="A48"/>
      <c r="B48"/>
      <c r="C48"/>
      <c r="D48"/>
      <c r="E48"/>
      <c r="F48"/>
      <c r="G48"/>
      <c r="H48"/>
      <c r="I48"/>
      <c r="J48"/>
      <c r="K48"/>
    </row>
    <row r="49" spans="1:11" ht="14" x14ac:dyDescent="0.3">
      <c r="A49"/>
      <c r="B49"/>
      <c r="C49"/>
      <c r="D49"/>
      <c r="E49"/>
      <c r="F49"/>
      <c r="G49"/>
      <c r="H49"/>
      <c r="I49"/>
      <c r="J49"/>
      <c r="K49"/>
    </row>
    <row r="50" spans="1:11" ht="14" x14ac:dyDescent="0.3">
      <c r="A50"/>
      <c r="B50"/>
      <c r="C50"/>
      <c r="D50"/>
      <c r="E50"/>
      <c r="F50"/>
      <c r="G50"/>
      <c r="H50"/>
      <c r="I50"/>
      <c r="J50"/>
      <c r="K50"/>
    </row>
    <row r="51" spans="1:11" ht="14" x14ac:dyDescent="0.3">
      <c r="A51"/>
      <c r="B51"/>
      <c r="C51"/>
      <c r="D51"/>
      <c r="E51"/>
      <c r="F51"/>
      <c r="G51"/>
      <c r="H51"/>
      <c r="I51"/>
      <c r="J51"/>
      <c r="K51"/>
    </row>
    <row r="52" spans="1:11" ht="14" x14ac:dyDescent="0.3">
      <c r="A52"/>
      <c r="B52"/>
      <c r="C52"/>
      <c r="D52"/>
      <c r="E52"/>
      <c r="F52"/>
      <c r="G52"/>
      <c r="H52"/>
      <c r="I52"/>
      <c r="J52"/>
      <c r="K52"/>
    </row>
    <row r="53" spans="1:11" ht="14" x14ac:dyDescent="0.3">
      <c r="A53"/>
      <c r="B53"/>
      <c r="C53"/>
      <c r="D53"/>
      <c r="E53"/>
      <c r="F53"/>
      <c r="G53"/>
      <c r="H53"/>
      <c r="I53"/>
      <c r="J53"/>
      <c r="K53"/>
    </row>
    <row r="54" spans="1:11" ht="14" x14ac:dyDescent="0.3">
      <c r="A54"/>
      <c r="B54"/>
      <c r="C54"/>
      <c r="D54"/>
      <c r="E54"/>
      <c r="F54"/>
      <c r="G54"/>
      <c r="H54"/>
      <c r="I54"/>
      <c r="J54"/>
      <c r="K54"/>
    </row>
    <row r="55" spans="1:11" ht="14" x14ac:dyDescent="0.3">
      <c r="A55"/>
      <c r="B55"/>
      <c r="C55"/>
      <c r="D55"/>
      <c r="E55"/>
      <c r="F55"/>
      <c r="G55"/>
      <c r="H55"/>
      <c r="I55"/>
      <c r="J55"/>
      <c r="K55"/>
    </row>
    <row r="56" spans="1:11" ht="14" x14ac:dyDescent="0.3">
      <c r="A56"/>
      <c r="B56"/>
      <c r="C56"/>
      <c r="D56"/>
      <c r="E56"/>
      <c r="F56"/>
      <c r="G56"/>
      <c r="H56"/>
      <c r="I56"/>
      <c r="J56"/>
      <c r="K56"/>
    </row>
    <row r="57" spans="1:11" ht="14" x14ac:dyDescent="0.3">
      <c r="A57"/>
      <c r="B57"/>
      <c r="C57"/>
      <c r="D57"/>
      <c r="E57"/>
      <c r="F57"/>
      <c r="G57"/>
      <c r="H57"/>
      <c r="I57"/>
      <c r="J57"/>
      <c r="K57"/>
    </row>
    <row r="58" spans="1:11" ht="14" x14ac:dyDescent="0.3">
      <c r="A58"/>
      <c r="B58"/>
      <c r="C58"/>
      <c r="D58"/>
      <c r="E58"/>
      <c r="F58"/>
      <c r="G58"/>
      <c r="H58"/>
      <c r="I58"/>
      <c r="J58"/>
      <c r="K58"/>
    </row>
    <row r="59" spans="1:11" ht="14" x14ac:dyDescent="0.3">
      <c r="A59"/>
      <c r="B59"/>
      <c r="C59"/>
      <c r="D59"/>
      <c r="E59"/>
      <c r="F59"/>
      <c r="G59"/>
      <c r="H59"/>
      <c r="I59"/>
      <c r="J59"/>
      <c r="K59"/>
    </row>
    <row r="60" spans="1:11" ht="14" x14ac:dyDescent="0.3">
      <c r="A60"/>
      <c r="B60"/>
      <c r="C60"/>
      <c r="D60"/>
      <c r="E60"/>
      <c r="F60"/>
      <c r="G60"/>
      <c r="H60"/>
      <c r="I60"/>
      <c r="J60"/>
      <c r="K60"/>
    </row>
    <row r="61" spans="1:11" ht="14" x14ac:dyDescent="0.3">
      <c r="A61"/>
      <c r="B61"/>
      <c r="C61"/>
      <c r="D61"/>
      <c r="E61"/>
      <c r="F61"/>
      <c r="G61"/>
      <c r="H61"/>
      <c r="I61"/>
      <c r="J61"/>
      <c r="K61"/>
    </row>
    <row r="62" spans="1:11" ht="14" x14ac:dyDescent="0.3">
      <c r="A62"/>
      <c r="B62"/>
      <c r="C62"/>
      <c r="D62"/>
      <c r="E62"/>
      <c r="F62"/>
      <c r="G62"/>
      <c r="H62"/>
      <c r="I62"/>
      <c r="J62"/>
      <c r="K62"/>
    </row>
    <row r="63" spans="1:11" ht="14" x14ac:dyDescent="0.3">
      <c r="A63"/>
      <c r="B63"/>
      <c r="C63"/>
      <c r="D63"/>
      <c r="E63"/>
      <c r="F63"/>
      <c r="G63"/>
      <c r="H63"/>
      <c r="I63"/>
      <c r="J63"/>
      <c r="K63"/>
    </row>
    <row r="64" spans="1:11" ht="14" x14ac:dyDescent="0.3">
      <c r="A64"/>
      <c r="B64"/>
      <c r="C64"/>
      <c r="D64"/>
      <c r="E64"/>
      <c r="F64"/>
      <c r="G64"/>
      <c r="H64"/>
      <c r="I64"/>
      <c r="J64"/>
      <c r="K64"/>
    </row>
    <row r="65" spans="1:11" ht="14" x14ac:dyDescent="0.3">
      <c r="A65"/>
      <c r="B65"/>
      <c r="C65"/>
      <c r="D65"/>
      <c r="E65"/>
      <c r="F65"/>
      <c r="G65"/>
      <c r="H65"/>
      <c r="I65"/>
      <c r="J65"/>
      <c r="K65"/>
    </row>
    <row r="66" spans="1:11" ht="14" x14ac:dyDescent="0.3">
      <c r="A66"/>
      <c r="B66"/>
      <c r="C66"/>
      <c r="D66"/>
      <c r="E66"/>
      <c r="F66"/>
      <c r="G66"/>
      <c r="H66"/>
      <c r="I66"/>
      <c r="J66"/>
      <c r="K66"/>
    </row>
    <row r="67" spans="1:11" ht="14" x14ac:dyDescent="0.3">
      <c r="A67"/>
      <c r="B67"/>
      <c r="C67"/>
      <c r="D67"/>
      <c r="E67"/>
      <c r="F67"/>
      <c r="G67"/>
      <c r="H67"/>
      <c r="I67"/>
      <c r="J67"/>
      <c r="K67"/>
    </row>
    <row r="68" spans="1:11" ht="14" x14ac:dyDescent="0.3">
      <c r="A68"/>
      <c r="B68"/>
      <c r="C68"/>
      <c r="D68"/>
      <c r="E68"/>
      <c r="F68"/>
      <c r="G68"/>
      <c r="H68"/>
      <c r="I68"/>
      <c r="J68"/>
      <c r="K68"/>
    </row>
    <row r="69" spans="1:11" ht="14" x14ac:dyDescent="0.3">
      <c r="A69"/>
      <c r="B69"/>
      <c r="C69"/>
      <c r="D69"/>
      <c r="E69"/>
      <c r="F69"/>
      <c r="G69"/>
      <c r="H69"/>
      <c r="I69"/>
      <c r="J69"/>
      <c r="K69"/>
    </row>
    <row r="70" spans="1:11" ht="14" x14ac:dyDescent="0.3">
      <c r="A70"/>
      <c r="B70"/>
      <c r="C70"/>
      <c r="D70"/>
      <c r="E70"/>
      <c r="F70"/>
      <c r="G70"/>
      <c r="H70"/>
      <c r="I70"/>
      <c r="J70"/>
      <c r="K70"/>
    </row>
    <row r="71" spans="1:11" ht="14" x14ac:dyDescent="0.3">
      <c r="A71"/>
      <c r="B71"/>
      <c r="C71"/>
      <c r="D71"/>
      <c r="E71"/>
      <c r="F71"/>
      <c r="G71"/>
      <c r="H71"/>
      <c r="I71"/>
      <c r="J71"/>
      <c r="K71"/>
    </row>
    <row r="72" spans="1:11" ht="14" x14ac:dyDescent="0.3">
      <c r="A72"/>
      <c r="B72"/>
      <c r="C72"/>
      <c r="D72"/>
      <c r="E72"/>
      <c r="F72"/>
      <c r="G72"/>
      <c r="H72"/>
      <c r="I72"/>
      <c r="J72"/>
      <c r="K72"/>
    </row>
    <row r="73" spans="1:11" ht="14" x14ac:dyDescent="0.3">
      <c r="A73"/>
      <c r="B73"/>
      <c r="C73"/>
      <c r="D73"/>
      <c r="E73"/>
      <c r="F73"/>
      <c r="G73"/>
      <c r="H73"/>
      <c r="I73"/>
      <c r="J73"/>
      <c r="K73"/>
    </row>
    <row r="74" spans="1:11" ht="14" x14ac:dyDescent="0.3">
      <c r="A74"/>
      <c r="B74"/>
      <c r="C74"/>
      <c r="D74"/>
      <c r="E74"/>
      <c r="F74"/>
      <c r="G74"/>
      <c r="H74"/>
      <c r="I74"/>
      <c r="J74"/>
      <c r="K74"/>
    </row>
  </sheetData>
  <mergeCells count="12">
    <mergeCell ref="A41:K41"/>
    <mergeCell ref="A7:B7"/>
    <mergeCell ref="AQ7:AZ7"/>
    <mergeCell ref="A13:B13"/>
    <mergeCell ref="A21:B21"/>
    <mergeCell ref="A29:B29"/>
    <mergeCell ref="A30:F30"/>
    <mergeCell ref="A33:B33"/>
    <mergeCell ref="A34:F34"/>
    <mergeCell ref="A37:B37"/>
    <mergeCell ref="A38:K38"/>
    <mergeCell ref="A40:B40"/>
  </mergeCells>
  <hyperlinks>
    <hyperlink ref="B23" r:id="rId1"/>
  </hyperlinks>
  <pageMargins left="0.75000000000000011" right="0.75000000000000011" top="1" bottom="1" header="0.5" footer="0.5"/>
  <pageSetup orientation="portrait" horizontalDpi="4294967292" verticalDpi="4294967292"/>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8"/>
  <sheetViews>
    <sheetView zoomScaleNormal="100" workbookViewId="0">
      <pane xSplit="2" ySplit="2" topLeftCell="F51" activePane="bottomRight" state="frozen"/>
      <selection activeCell="A42" sqref="A42:F42"/>
      <selection pane="topRight" activeCell="A42" sqref="A42:F42"/>
      <selection pane="bottomLeft" activeCell="A42" sqref="A42:F42"/>
      <selection pane="bottomRight" activeCell="F10" sqref="F10"/>
    </sheetView>
  </sheetViews>
  <sheetFormatPr defaultColWidth="11" defaultRowHeight="13.5" x14ac:dyDescent="0.25"/>
  <cols>
    <col min="1" max="1" width="10.53515625" style="14" customWidth="1"/>
    <col min="2" max="2" width="60.53515625" style="14" customWidth="1"/>
    <col min="3" max="51" width="14.53515625" style="14" customWidth="1"/>
    <col min="52" max="56" width="15.53515625" style="14" customWidth="1"/>
    <col min="57" max="16384" width="11" style="14"/>
  </cols>
  <sheetData>
    <row r="1" spans="1:58" s="2" customFormat="1" ht="18" thickBot="1" x14ac:dyDescent="0.4">
      <c r="A1" s="2" t="s">
        <v>298</v>
      </c>
    </row>
    <row r="2" spans="1:58" s="7" customFormat="1" ht="14" thickTop="1" x14ac:dyDescent="0.25">
      <c r="B2" s="6" t="s">
        <v>1</v>
      </c>
      <c r="C2" s="7">
        <v>1960</v>
      </c>
      <c r="D2" s="7">
        <v>1961</v>
      </c>
      <c r="E2" s="7">
        <v>1962</v>
      </c>
      <c r="F2" s="7">
        <v>1963</v>
      </c>
      <c r="G2" s="7">
        <v>1964</v>
      </c>
      <c r="H2" s="7">
        <v>1965</v>
      </c>
      <c r="I2" s="7">
        <v>1966</v>
      </c>
      <c r="J2" s="7">
        <v>1967</v>
      </c>
      <c r="K2" s="7">
        <v>1968</v>
      </c>
      <c r="L2" s="7">
        <v>1969</v>
      </c>
      <c r="M2" s="7">
        <v>1970</v>
      </c>
      <c r="N2" s="7">
        <v>1971</v>
      </c>
      <c r="O2" s="7">
        <v>1972</v>
      </c>
      <c r="P2" s="7">
        <v>1973</v>
      </c>
      <c r="Q2" s="7">
        <v>1974</v>
      </c>
      <c r="R2" s="7">
        <v>1975</v>
      </c>
      <c r="S2" s="7">
        <v>1976</v>
      </c>
      <c r="T2" s="7">
        <v>1977</v>
      </c>
      <c r="U2" s="7">
        <v>1978</v>
      </c>
      <c r="V2" s="7">
        <v>1979</v>
      </c>
      <c r="W2" s="7">
        <v>1980</v>
      </c>
      <c r="X2" s="7">
        <v>1981</v>
      </c>
      <c r="Y2" s="7">
        <v>1982</v>
      </c>
      <c r="Z2" s="7">
        <v>1983</v>
      </c>
      <c r="AA2" s="7">
        <v>1984</v>
      </c>
      <c r="AB2" s="7">
        <v>1985</v>
      </c>
      <c r="AC2" s="7">
        <v>1986</v>
      </c>
      <c r="AD2" s="7">
        <v>1987</v>
      </c>
      <c r="AE2" s="7">
        <v>1988</v>
      </c>
      <c r="AF2" s="7">
        <v>1989</v>
      </c>
      <c r="AG2" s="7">
        <v>1990</v>
      </c>
      <c r="AH2" s="7">
        <v>1991</v>
      </c>
      <c r="AI2" s="7">
        <v>1992</v>
      </c>
      <c r="AJ2" s="7">
        <v>1993</v>
      </c>
      <c r="AK2" s="7">
        <v>1994</v>
      </c>
      <c r="AL2" s="7">
        <v>1995</v>
      </c>
      <c r="AM2" s="7">
        <v>1996</v>
      </c>
      <c r="AN2" s="7">
        <v>1997</v>
      </c>
      <c r="AO2" s="7">
        <v>1998</v>
      </c>
      <c r="AP2" s="7">
        <v>1999</v>
      </c>
      <c r="AQ2" s="7">
        <v>2000</v>
      </c>
      <c r="AR2" s="7">
        <v>2001</v>
      </c>
      <c r="AS2" s="7">
        <v>2002</v>
      </c>
      <c r="AT2" s="7">
        <v>2003</v>
      </c>
      <c r="AU2" s="7">
        <v>2004</v>
      </c>
      <c r="AV2" s="7">
        <v>2005</v>
      </c>
      <c r="AW2" s="7">
        <v>2006</v>
      </c>
      <c r="AX2" s="7">
        <v>2007</v>
      </c>
      <c r="AY2" s="7">
        <v>2008</v>
      </c>
      <c r="AZ2" s="7">
        <v>2009</v>
      </c>
      <c r="BA2" s="7">
        <v>2010</v>
      </c>
      <c r="BB2" s="7">
        <v>2011</v>
      </c>
      <c r="BC2" s="7">
        <v>2012</v>
      </c>
      <c r="BD2" s="7">
        <v>2013</v>
      </c>
    </row>
    <row r="3" spans="1:58" s="60" customFormat="1" x14ac:dyDescent="0.25">
      <c r="A3" s="13">
        <v>1</v>
      </c>
      <c r="B3" s="60" t="s">
        <v>299</v>
      </c>
      <c r="C3" s="60">
        <v>0.23033667884700659</v>
      </c>
      <c r="D3" s="60">
        <v>0.24324543456395847</v>
      </c>
      <c r="E3" s="60">
        <v>0.26262479446591613</v>
      </c>
      <c r="F3" s="60">
        <v>0.27990588863728433</v>
      </c>
      <c r="G3" s="60">
        <v>0.29149824489926529</v>
      </c>
      <c r="H3" s="60">
        <v>0.31499086638352436</v>
      </c>
      <c r="I3" s="60">
        <v>0.38179930368227155</v>
      </c>
      <c r="J3" s="60">
        <v>0.40582316786941758</v>
      </c>
      <c r="K3" s="60">
        <v>0.42221678621366671</v>
      </c>
      <c r="L3" s="60">
        <v>0.45099241245176031</v>
      </c>
      <c r="M3" s="60">
        <v>0.49795410299999998</v>
      </c>
      <c r="N3" s="60">
        <v>0.50966552114523034</v>
      </c>
      <c r="O3" s="60">
        <v>0.53696353507566386</v>
      </c>
      <c r="P3" s="60">
        <v>0.59599626605737888</v>
      </c>
      <c r="Q3" s="60">
        <v>0.71303070405829405</v>
      </c>
      <c r="R3" s="60">
        <v>0.64864974035154155</v>
      </c>
      <c r="S3" s="60">
        <v>0.6321127191004251</v>
      </c>
      <c r="T3" s="60">
        <v>0.6018292035398235</v>
      </c>
      <c r="U3" s="60">
        <v>0.59099550057006367</v>
      </c>
      <c r="V3" s="60">
        <v>0.61347835515249016</v>
      </c>
      <c r="W3" s="60">
        <v>0.65180224675659426</v>
      </c>
      <c r="X3" s="60">
        <v>0.67615620783317332</v>
      </c>
      <c r="Y3" s="60">
        <v>0.66370256316199805</v>
      </c>
      <c r="Z3" s="60">
        <v>0.62167392046060366</v>
      </c>
      <c r="AA3" s="60">
        <v>0.59347596906487743</v>
      </c>
      <c r="AB3" s="60">
        <v>0.60026899282824009</v>
      </c>
      <c r="AC3" s="60">
        <v>0.63622109521348813</v>
      </c>
      <c r="AD3" s="60">
        <v>0.66527692231742142</v>
      </c>
      <c r="AE3" s="60">
        <v>0.65113917855034575</v>
      </c>
      <c r="AF3" s="60">
        <v>0.6461499182821302</v>
      </c>
      <c r="AG3" s="60">
        <v>0.64418246303959537</v>
      </c>
      <c r="AH3" s="60">
        <v>0.63247737561369999</v>
      </c>
      <c r="AI3" s="60">
        <v>0.62809176997036043</v>
      </c>
      <c r="AJ3" s="60">
        <v>0.6309710648170227</v>
      </c>
      <c r="AK3" s="60">
        <v>0.65992790065822604</v>
      </c>
      <c r="AL3" s="60">
        <v>0.69029123383936075</v>
      </c>
      <c r="AM3" s="60">
        <v>0.69988482941599828</v>
      </c>
      <c r="AN3" s="60">
        <v>0.73678920711038398</v>
      </c>
      <c r="AO3" s="60">
        <v>0.76717219211335141</v>
      </c>
      <c r="AP3" s="60">
        <v>0.8012045370823172</v>
      </c>
      <c r="AQ3" s="60">
        <v>0.8338880080401827</v>
      </c>
      <c r="AR3" s="60">
        <v>0.8474388492350482</v>
      </c>
      <c r="AS3" s="60">
        <v>0.87010575234188969</v>
      </c>
      <c r="AT3" s="60">
        <v>0.86396059334565767</v>
      </c>
      <c r="AU3" s="60">
        <v>0.97214021996326605</v>
      </c>
      <c r="AV3" s="60">
        <v>1.0535240355231188</v>
      </c>
      <c r="AW3" s="60">
        <f t="shared" ref="AW3:BC4" si="0">AW17</f>
        <v>1.1655860474013637</v>
      </c>
      <c r="AX3" s="60">
        <f t="shared" si="0"/>
        <v>1.2710081139603666</v>
      </c>
      <c r="AY3" s="60">
        <f t="shared" si="0"/>
        <v>1.3018054144708322</v>
      </c>
      <c r="AZ3" s="60">
        <f t="shared" si="0"/>
        <v>1.3189457914872098</v>
      </c>
      <c r="BA3" s="60">
        <f t="shared" si="0"/>
        <v>1.346195884031806</v>
      </c>
      <c r="BB3" s="60">
        <f t="shared" si="0"/>
        <v>1.3913975285621021</v>
      </c>
      <c r="BC3" s="60">
        <f t="shared" si="0"/>
        <v>1.4218502514974858</v>
      </c>
      <c r="BD3" s="60">
        <f>BD17</f>
        <v>1.4291224279680015</v>
      </c>
    </row>
    <row r="4" spans="1:58" s="73" customFormat="1" x14ac:dyDescent="0.25">
      <c r="A4" s="13">
        <v>2</v>
      </c>
      <c r="B4" s="73" t="s">
        <v>300</v>
      </c>
      <c r="C4" s="73">
        <v>83.9</v>
      </c>
      <c r="D4" s="73">
        <v>89.5</v>
      </c>
      <c r="E4" s="73">
        <v>97.6</v>
      </c>
      <c r="F4" s="73">
        <v>105.4</v>
      </c>
      <c r="G4" s="73">
        <v>111.2</v>
      </c>
      <c r="H4" s="73">
        <v>122.1</v>
      </c>
      <c r="I4" s="73">
        <v>135.80000000000001</v>
      </c>
      <c r="J4" s="73">
        <v>148.80000000000001</v>
      </c>
      <c r="K4" s="73">
        <v>161.30000000000001</v>
      </c>
      <c r="L4" s="73">
        <v>181.7</v>
      </c>
      <c r="M4" s="73">
        <v>212.1</v>
      </c>
      <c r="N4" s="73">
        <v>226.6</v>
      </c>
      <c r="O4" s="73">
        <v>246.4</v>
      </c>
      <c r="P4" s="73">
        <v>290.5</v>
      </c>
      <c r="Q4" s="73">
        <v>385.9</v>
      </c>
      <c r="R4" s="73">
        <v>383.1</v>
      </c>
      <c r="S4" s="73">
        <v>378.5</v>
      </c>
      <c r="T4" s="73">
        <v>383.8</v>
      </c>
      <c r="U4" s="73">
        <v>405.5</v>
      </c>
      <c r="V4" s="73">
        <v>468.7</v>
      </c>
      <c r="W4" s="73">
        <v>565.20000000000005</v>
      </c>
      <c r="X4" s="73">
        <v>646.79999999999995</v>
      </c>
      <c r="Y4" s="73">
        <v>674</v>
      </c>
      <c r="Z4" s="73">
        <v>651.6</v>
      </c>
      <c r="AA4" s="73">
        <v>648.9</v>
      </c>
      <c r="AB4" s="73">
        <v>679.7</v>
      </c>
      <c r="AC4" s="73">
        <v>733.8</v>
      </c>
      <c r="AD4" s="73">
        <v>779.5</v>
      </c>
      <c r="AE4" s="73">
        <v>794.5</v>
      </c>
      <c r="AF4" s="73">
        <v>826.4</v>
      </c>
      <c r="AG4" s="73">
        <v>868.4</v>
      </c>
      <c r="AH4" s="73">
        <v>888.5</v>
      </c>
      <c r="AI4" s="73">
        <v>908.9</v>
      </c>
      <c r="AJ4" s="73">
        <v>940.4</v>
      </c>
      <c r="AK4" s="73">
        <v>1003.7</v>
      </c>
      <c r="AL4" s="73">
        <v>1073.7</v>
      </c>
      <c r="AM4" s="73">
        <v>1127</v>
      </c>
      <c r="AN4" s="73">
        <v>1209.0999999999999</v>
      </c>
      <c r="AO4" s="73">
        <v>1252.9000000000001</v>
      </c>
      <c r="AP4" s="73">
        <v>1335.2</v>
      </c>
      <c r="AQ4" s="73">
        <v>1435.2</v>
      </c>
      <c r="AR4" s="73">
        <v>1498.3</v>
      </c>
      <c r="AS4" s="73">
        <v>1560.1</v>
      </c>
      <c r="AT4" s="73">
        <v>1594</v>
      </c>
      <c r="AU4" s="73">
        <v>1837.6</v>
      </c>
      <c r="AV4" s="73">
        <v>2056</v>
      </c>
      <c r="AW4" s="73">
        <f t="shared" si="0"/>
        <v>2350</v>
      </c>
      <c r="AX4" s="73">
        <f t="shared" si="0"/>
        <v>2635</v>
      </c>
      <c r="AY4" s="73">
        <f t="shared" si="0"/>
        <v>2803</v>
      </c>
      <c r="AZ4" s="73">
        <f t="shared" si="0"/>
        <v>2830</v>
      </c>
      <c r="BA4" s="73">
        <f t="shared" si="0"/>
        <v>2935</v>
      </c>
      <c r="BB4" s="73">
        <f t="shared" si="0"/>
        <v>3130</v>
      </c>
      <c r="BC4" s="73">
        <f t="shared" si="0"/>
        <v>3264</v>
      </c>
      <c r="BD4" s="73">
        <f>BD18</f>
        <v>3343.2</v>
      </c>
    </row>
    <row r="5" spans="1:58" s="59" customFormat="1" x14ac:dyDescent="0.25">
      <c r="A5" s="13">
        <v>3</v>
      </c>
      <c r="B5" s="59" t="s">
        <v>301</v>
      </c>
      <c r="C5" s="59">
        <v>36.607043918918841</v>
      </c>
      <c r="D5" s="59">
        <v>38.658612040133825</v>
      </c>
      <c r="E5" s="59">
        <v>41.738543046357584</v>
      </c>
      <c r="F5" s="59">
        <v>44.484999999999935</v>
      </c>
      <c r="G5" s="59">
        <v>46.327354838709581</v>
      </c>
      <c r="H5" s="59">
        <v>50.0609999999999</v>
      </c>
      <c r="I5" s="59">
        <v>54.131388888888779</v>
      </c>
      <c r="J5" s="59">
        <v>57.537485029940051</v>
      </c>
      <c r="K5" s="59">
        <v>59.861767241379241</v>
      </c>
      <c r="L5" s="59">
        <v>63.941566757493142</v>
      </c>
      <c r="M5" s="59">
        <v>70.59978092783517</v>
      </c>
      <c r="N5" s="59">
        <v>72.260222222222211</v>
      </c>
      <c r="O5" s="59">
        <v>76.13052631578941</v>
      </c>
      <c r="P5" s="59">
        <v>84.500168918919044</v>
      </c>
      <c r="Q5" s="59">
        <v>101.09327586206892</v>
      </c>
      <c r="R5" s="59">
        <v>91.965362453531498</v>
      </c>
      <c r="S5" s="59">
        <v>85.910852372583548</v>
      </c>
      <c r="T5" s="59">
        <v>81.795000000000059</v>
      </c>
      <c r="U5" s="59">
        <v>80.322584355828241</v>
      </c>
      <c r="V5" s="59">
        <v>83.378243801652872</v>
      </c>
      <c r="W5" s="59">
        <v>88.58686893203884</v>
      </c>
      <c r="X5" s="59">
        <v>91.896831683168372</v>
      </c>
      <c r="Y5" s="59">
        <v>90.204248704663271</v>
      </c>
      <c r="Z5" s="59">
        <v>84.492108433734927</v>
      </c>
      <c r="AA5" s="59">
        <v>80.659706448508217</v>
      </c>
      <c r="AB5" s="59">
        <v>81.58295074349445</v>
      </c>
      <c r="AC5" s="59">
        <v>86.469224452554798</v>
      </c>
      <c r="AD5" s="59">
        <v>88.620092429577468</v>
      </c>
      <c r="AE5" s="59">
        <v>86.73683431952665</v>
      </c>
      <c r="AF5" s="59">
        <v>86.072225806451669</v>
      </c>
      <c r="AG5" s="59">
        <v>85.810145371078775</v>
      </c>
      <c r="AH5" s="59">
        <v>84.250936123348083</v>
      </c>
      <c r="AI5" s="59">
        <v>83.66673913043482</v>
      </c>
      <c r="AJ5" s="59">
        <v>84.050283737024174</v>
      </c>
      <c r="AK5" s="59">
        <v>87.468188259109354</v>
      </c>
      <c r="AL5" s="59">
        <v>90.989734251968557</v>
      </c>
      <c r="AM5" s="59">
        <v>92.767399617590826</v>
      </c>
      <c r="AN5" s="59">
        <v>97.292999999999978</v>
      </c>
      <c r="AO5" s="59">
        <v>99.271187116564448</v>
      </c>
      <c r="AP5" s="59">
        <v>103.50605042016807</v>
      </c>
      <c r="AQ5" s="59">
        <v>107.64</v>
      </c>
      <c r="AR5" s="59">
        <v>109.26337944664024</v>
      </c>
      <c r="AS5" s="59">
        <v>111.99939688715951</v>
      </c>
      <c r="AT5" s="59">
        <v>111.88320652173917</v>
      </c>
      <c r="AU5" s="59">
        <v>125.63580730545259</v>
      </c>
      <c r="AV5" s="59">
        <v>135.96129032258057</v>
      </c>
      <c r="AW5" s="59">
        <f t="shared" ref="AW5:BC5" si="1">AW21</f>
        <v>150.54687500000003</v>
      </c>
      <c r="AX5" s="59">
        <f t="shared" si="1"/>
        <v>164.16316931982627</v>
      </c>
      <c r="AY5" s="59">
        <f t="shared" si="1"/>
        <v>168.14094287041334</v>
      </c>
      <c r="AZ5" s="59">
        <f t="shared" si="1"/>
        <v>170.35479074710204</v>
      </c>
      <c r="BA5" s="59">
        <f t="shared" si="1"/>
        <v>173.87440758293837</v>
      </c>
      <c r="BB5" s="59">
        <f t="shared" si="1"/>
        <v>179.71264350217263</v>
      </c>
      <c r="BC5" s="59">
        <f t="shared" si="1"/>
        <v>183.64591147786945</v>
      </c>
      <c r="BD5" s="59">
        <f>BD21</f>
        <v>184.58518442517823</v>
      </c>
    </row>
    <row r="7" spans="1:58" x14ac:dyDescent="0.25">
      <c r="A7" s="125" t="s">
        <v>5</v>
      </c>
      <c r="B7" s="125"/>
    </row>
    <row r="8" spans="1:58" ht="14" x14ac:dyDescent="0.3">
      <c r="A8" s="14">
        <v>1</v>
      </c>
      <c r="B8" s="14" t="s">
        <v>302</v>
      </c>
      <c r="AV8" s="38"/>
      <c r="AW8" s="38"/>
      <c r="AX8" s="93"/>
      <c r="AY8" s="94"/>
      <c r="AZ8" s="94"/>
      <c r="BA8" s="38"/>
      <c r="BB8" s="38"/>
      <c r="BC8" s="38"/>
      <c r="BD8" s="38"/>
      <c r="BE8" s="38"/>
      <c r="BF8" s="38"/>
    </row>
    <row r="9" spans="1:58" x14ac:dyDescent="0.25">
      <c r="A9" s="14">
        <v>2</v>
      </c>
      <c r="B9" s="14" t="s">
        <v>303</v>
      </c>
      <c r="AV9" s="38"/>
      <c r="AW9" s="38"/>
      <c r="AX9" s="38"/>
      <c r="AY9" s="38"/>
      <c r="AZ9" s="38"/>
      <c r="BA9" s="38"/>
      <c r="BB9" s="38"/>
      <c r="BC9" s="38"/>
      <c r="BD9" s="38"/>
      <c r="BE9" s="38"/>
      <c r="BF9" s="38"/>
    </row>
    <row r="10" spans="1:58" x14ac:dyDescent="0.25">
      <c r="A10" s="14">
        <v>3</v>
      </c>
      <c r="B10" s="14" t="s">
        <v>304</v>
      </c>
      <c r="AV10" s="38"/>
      <c r="AW10" s="38"/>
      <c r="AX10" s="38"/>
      <c r="AY10" s="38"/>
      <c r="AZ10" s="38"/>
      <c r="BA10" s="38"/>
      <c r="BB10" s="38"/>
      <c r="BC10" s="38"/>
      <c r="BD10" s="38"/>
      <c r="BE10" s="38"/>
      <c r="BF10" s="38"/>
    </row>
    <row r="11" spans="1:58" x14ac:dyDescent="0.25">
      <c r="A11" s="14">
        <v>4</v>
      </c>
      <c r="B11" s="14" t="s">
        <v>295</v>
      </c>
      <c r="AV11" s="38"/>
      <c r="AW11" s="38"/>
      <c r="AX11" s="38"/>
      <c r="AY11" s="38"/>
      <c r="AZ11" s="38"/>
      <c r="BA11" s="38"/>
      <c r="BB11" s="38"/>
      <c r="BC11" s="38"/>
      <c r="BD11" s="38"/>
      <c r="BE11" s="38"/>
      <c r="BF11" s="38"/>
    </row>
    <row r="12" spans="1:58" x14ac:dyDescent="0.25">
      <c r="A12" s="14">
        <v>5</v>
      </c>
      <c r="B12" s="14" t="s">
        <v>295</v>
      </c>
    </row>
    <row r="13" spans="1:58" x14ac:dyDescent="0.25">
      <c r="A13" s="14">
        <v>6</v>
      </c>
      <c r="B13" s="14" t="s">
        <v>305</v>
      </c>
    </row>
    <row r="16" spans="1:58" x14ac:dyDescent="0.25">
      <c r="A16" s="125" t="s">
        <v>10</v>
      </c>
      <c r="B16" s="125"/>
    </row>
    <row r="17" spans="1:56" s="18" customFormat="1" x14ac:dyDescent="0.25">
      <c r="A17" s="18">
        <v>1</v>
      </c>
      <c r="B17" s="18" t="s">
        <v>299</v>
      </c>
      <c r="C17" s="18">
        <f>C21*C26</f>
        <v>0.23033667884700659</v>
      </c>
      <c r="D17" s="18">
        <f t="shared" ref="D17:BB17" si="2">D21*D26</f>
        <v>0.24324543456395847</v>
      </c>
      <c r="E17" s="18">
        <f t="shared" si="2"/>
        <v>0.26262479446591613</v>
      </c>
      <c r="F17" s="18">
        <f t="shared" si="2"/>
        <v>0.27990588863728433</v>
      </c>
      <c r="G17" s="18">
        <f t="shared" si="2"/>
        <v>0.29149824489926529</v>
      </c>
      <c r="H17" s="18">
        <f t="shared" si="2"/>
        <v>0.31499086638352436</v>
      </c>
      <c r="I17" s="18">
        <f t="shared" si="2"/>
        <v>0.38179930368227155</v>
      </c>
      <c r="J17" s="18">
        <f t="shared" si="2"/>
        <v>0.40582316786941758</v>
      </c>
      <c r="K17" s="18">
        <f t="shared" si="2"/>
        <v>0.42221678621366671</v>
      </c>
      <c r="L17" s="18">
        <f t="shared" si="2"/>
        <v>0.45099241245176031</v>
      </c>
      <c r="M17" s="18">
        <f t="shared" si="2"/>
        <v>0.49795410300106419</v>
      </c>
      <c r="N17" s="18">
        <f t="shared" si="2"/>
        <v>0.50966552114523034</v>
      </c>
      <c r="O17" s="18">
        <f t="shared" si="2"/>
        <v>0.53696353507566386</v>
      </c>
      <c r="P17" s="18">
        <f t="shared" si="2"/>
        <v>0.59599626605737888</v>
      </c>
      <c r="Q17" s="18">
        <f t="shared" si="2"/>
        <v>0.71303070405829405</v>
      </c>
      <c r="R17" s="18">
        <f t="shared" si="2"/>
        <v>0.64864974035154155</v>
      </c>
      <c r="S17" s="18">
        <f t="shared" si="2"/>
        <v>0.6321127191004251</v>
      </c>
      <c r="T17" s="18">
        <f t="shared" si="2"/>
        <v>0.6018292035398235</v>
      </c>
      <c r="U17" s="18">
        <f t="shared" si="2"/>
        <v>0.59099550057006367</v>
      </c>
      <c r="V17" s="18">
        <f t="shared" si="2"/>
        <v>0.61347835515249016</v>
      </c>
      <c r="W17" s="18">
        <f t="shared" si="2"/>
        <v>0.65180224675659426</v>
      </c>
      <c r="X17" s="18">
        <f t="shared" si="2"/>
        <v>0.67615620783317332</v>
      </c>
      <c r="Y17" s="18">
        <f t="shared" si="2"/>
        <v>0.66370256316199805</v>
      </c>
      <c r="Z17" s="18">
        <f t="shared" si="2"/>
        <v>0.62167392046060366</v>
      </c>
      <c r="AA17" s="18">
        <f t="shared" si="2"/>
        <v>0.59347596906487743</v>
      </c>
      <c r="AB17" s="18">
        <f t="shared" si="2"/>
        <v>0.60026899282824009</v>
      </c>
      <c r="AC17" s="18">
        <f t="shared" si="2"/>
        <v>0.63622109521348813</v>
      </c>
      <c r="AD17" s="18">
        <f t="shared" si="2"/>
        <v>0.66527692231742142</v>
      </c>
      <c r="AE17" s="18">
        <f t="shared" si="2"/>
        <v>0.65113917855034575</v>
      </c>
      <c r="AF17" s="18">
        <f t="shared" si="2"/>
        <v>0.6461499182821302</v>
      </c>
      <c r="AG17" s="18">
        <f t="shared" si="2"/>
        <v>0.64418246303959537</v>
      </c>
      <c r="AH17" s="18">
        <f t="shared" si="2"/>
        <v>0.63247737561369999</v>
      </c>
      <c r="AI17" s="18">
        <f t="shared" si="2"/>
        <v>0.62809176997036043</v>
      </c>
      <c r="AJ17" s="18">
        <f t="shared" si="2"/>
        <v>0.6309710648170227</v>
      </c>
      <c r="AK17" s="18">
        <f t="shared" si="2"/>
        <v>0.65992790065822604</v>
      </c>
      <c r="AL17" s="18">
        <f t="shared" si="2"/>
        <v>0.69029123383936075</v>
      </c>
      <c r="AM17" s="18">
        <f t="shared" si="2"/>
        <v>0.69988482941599828</v>
      </c>
      <c r="AN17" s="18">
        <f t="shared" si="2"/>
        <v>0.73678920711038398</v>
      </c>
      <c r="AO17" s="18">
        <f t="shared" si="2"/>
        <v>0.76717219211335141</v>
      </c>
      <c r="AP17" s="18">
        <f t="shared" si="2"/>
        <v>0.8012045370823172</v>
      </c>
      <c r="AQ17" s="18">
        <f t="shared" si="2"/>
        <v>0.8338880080401827</v>
      </c>
      <c r="AR17" s="18">
        <f t="shared" si="2"/>
        <v>0.8474388492350482</v>
      </c>
      <c r="AS17" s="18">
        <f t="shared" si="2"/>
        <v>0.87010575234188969</v>
      </c>
      <c r="AT17" s="18">
        <f t="shared" si="2"/>
        <v>0.86396059334565767</v>
      </c>
      <c r="AU17" s="18">
        <f t="shared" si="2"/>
        <v>0.97214021996326605</v>
      </c>
      <c r="AV17" s="18">
        <f t="shared" si="2"/>
        <v>1.0535240355231188</v>
      </c>
      <c r="AW17" s="18">
        <f t="shared" si="2"/>
        <v>1.1655860474013637</v>
      </c>
      <c r="AX17" s="18">
        <f t="shared" si="2"/>
        <v>1.2710081139603666</v>
      </c>
      <c r="AY17" s="18">
        <f t="shared" si="2"/>
        <v>1.3018054144708322</v>
      </c>
      <c r="AZ17" s="18">
        <f t="shared" si="2"/>
        <v>1.3189457914872098</v>
      </c>
      <c r="BA17" s="18">
        <f t="shared" si="2"/>
        <v>1.346195884031806</v>
      </c>
      <c r="BB17" s="18">
        <f t="shared" si="2"/>
        <v>1.3913975285621021</v>
      </c>
      <c r="BC17" s="18">
        <f>BC21*BC26</f>
        <v>1.4218502514974858</v>
      </c>
      <c r="BD17" s="18">
        <f>BD21*BD26</f>
        <v>1.4291224279680015</v>
      </c>
    </row>
    <row r="18" spans="1:56" s="18" customFormat="1" x14ac:dyDescent="0.25">
      <c r="A18" s="18">
        <v>2</v>
      </c>
      <c r="B18" s="18" t="s">
        <v>300</v>
      </c>
      <c r="C18" s="18">
        <v>83.9</v>
      </c>
      <c r="D18" s="18">
        <v>89.5</v>
      </c>
      <c r="E18" s="18">
        <v>97.6</v>
      </c>
      <c r="F18" s="18">
        <v>105.4</v>
      </c>
      <c r="G18" s="18">
        <v>111.2</v>
      </c>
      <c r="H18" s="18">
        <v>122.1</v>
      </c>
      <c r="I18" s="18">
        <v>135.80000000000001</v>
      </c>
      <c r="J18" s="18">
        <v>148.80000000000001</v>
      </c>
      <c r="K18" s="18">
        <v>161.30000000000001</v>
      </c>
      <c r="L18" s="18">
        <v>181.7</v>
      </c>
      <c r="M18" s="18">
        <v>212.1</v>
      </c>
      <c r="N18" s="18">
        <v>226.6</v>
      </c>
      <c r="O18" s="18">
        <v>246.4</v>
      </c>
      <c r="P18" s="18">
        <v>290.5</v>
      </c>
      <c r="Q18" s="18">
        <v>385.9</v>
      </c>
      <c r="R18" s="18">
        <v>383.1</v>
      </c>
      <c r="S18" s="18">
        <v>378.5</v>
      </c>
      <c r="T18" s="18">
        <v>383.8</v>
      </c>
      <c r="U18" s="18">
        <v>405.5</v>
      </c>
      <c r="V18" s="18">
        <v>468.7</v>
      </c>
      <c r="W18" s="18">
        <v>565.20000000000005</v>
      </c>
      <c r="X18" s="18">
        <v>646.79999999999995</v>
      </c>
      <c r="Y18" s="18">
        <v>674</v>
      </c>
      <c r="Z18" s="18">
        <v>651.6</v>
      </c>
      <c r="AA18" s="18">
        <v>648.9</v>
      </c>
      <c r="AB18" s="18">
        <v>679.7</v>
      </c>
      <c r="AC18" s="18">
        <v>733.8</v>
      </c>
      <c r="AD18" s="18">
        <v>779.5</v>
      </c>
      <c r="AE18" s="18">
        <v>794.5</v>
      </c>
      <c r="AF18" s="18">
        <v>826.4</v>
      </c>
      <c r="AG18" s="18">
        <v>868.4</v>
      </c>
      <c r="AH18" s="18">
        <v>888.5</v>
      </c>
      <c r="AI18" s="18">
        <v>908.9</v>
      </c>
      <c r="AJ18" s="18">
        <v>940.4</v>
      </c>
      <c r="AK18" s="18">
        <v>1003.7</v>
      </c>
      <c r="AL18" s="18">
        <v>1073.7</v>
      </c>
      <c r="AM18" s="18">
        <v>1127</v>
      </c>
      <c r="AN18" s="18">
        <v>1209.0999999999999</v>
      </c>
      <c r="AO18" s="18">
        <v>1252.9000000000001</v>
      </c>
      <c r="AP18" s="18">
        <v>1335.2</v>
      </c>
      <c r="AQ18" s="18">
        <v>1435.2</v>
      </c>
      <c r="AR18" s="18">
        <v>1498.3</v>
      </c>
      <c r="AS18" s="18">
        <v>1560.1</v>
      </c>
      <c r="AT18" s="18">
        <v>1594</v>
      </c>
      <c r="AU18" s="18">
        <v>1837.6</v>
      </c>
      <c r="AV18" s="18">
        <v>2056</v>
      </c>
      <c r="AW18" s="18">
        <v>2350</v>
      </c>
      <c r="AX18" s="18">
        <v>2635</v>
      </c>
      <c r="AY18" s="18">
        <v>2803</v>
      </c>
      <c r="AZ18" s="18">
        <v>2830</v>
      </c>
      <c r="BA18" s="18">
        <v>2935</v>
      </c>
      <c r="BB18" s="18">
        <v>3130</v>
      </c>
      <c r="BC18" s="18">
        <v>3264</v>
      </c>
      <c r="BD18" s="70">
        <v>3343.2</v>
      </c>
    </row>
    <row r="19" spans="1:56" s="21" customFormat="1" x14ac:dyDescent="0.25">
      <c r="A19" s="21">
        <v>3</v>
      </c>
      <c r="B19" s="21" t="s">
        <v>306</v>
      </c>
      <c r="C19" s="21">
        <f>C18*0.075</f>
        <v>6.2925000000000004</v>
      </c>
      <c r="D19" s="21">
        <f t="shared" ref="D19:BB19" si="3">D18*0.075</f>
        <v>6.7124999999999995</v>
      </c>
      <c r="E19" s="21">
        <f t="shared" si="3"/>
        <v>7.3199999999999994</v>
      </c>
      <c r="F19" s="21">
        <f t="shared" si="3"/>
        <v>7.9050000000000002</v>
      </c>
      <c r="G19" s="21">
        <f t="shared" si="3"/>
        <v>8.34</v>
      </c>
      <c r="H19" s="21">
        <f t="shared" si="3"/>
        <v>9.1574999999999989</v>
      </c>
      <c r="I19" s="21">
        <f t="shared" si="3"/>
        <v>10.185</v>
      </c>
      <c r="J19" s="21">
        <f t="shared" si="3"/>
        <v>11.16</v>
      </c>
      <c r="K19" s="21">
        <f t="shared" si="3"/>
        <v>12.0975</v>
      </c>
      <c r="L19" s="21">
        <f t="shared" si="3"/>
        <v>13.6275</v>
      </c>
      <c r="M19" s="21">
        <f t="shared" si="3"/>
        <v>15.907499999999999</v>
      </c>
      <c r="N19" s="21">
        <f t="shared" si="3"/>
        <v>16.994999999999997</v>
      </c>
      <c r="O19" s="21">
        <f t="shared" si="3"/>
        <v>18.48</v>
      </c>
      <c r="P19" s="21">
        <f t="shared" si="3"/>
        <v>21.787499999999998</v>
      </c>
      <c r="Q19" s="21">
        <f t="shared" si="3"/>
        <v>28.942499999999995</v>
      </c>
      <c r="R19" s="21">
        <f t="shared" si="3"/>
        <v>28.732500000000002</v>
      </c>
      <c r="S19" s="21">
        <f t="shared" si="3"/>
        <v>28.387499999999999</v>
      </c>
      <c r="T19" s="21">
        <f t="shared" si="3"/>
        <v>28.785</v>
      </c>
      <c r="U19" s="21">
        <f t="shared" si="3"/>
        <v>30.412499999999998</v>
      </c>
      <c r="V19" s="21">
        <f t="shared" si="3"/>
        <v>35.152499999999996</v>
      </c>
      <c r="W19" s="21">
        <f t="shared" si="3"/>
        <v>42.39</v>
      </c>
      <c r="X19" s="21">
        <f t="shared" si="3"/>
        <v>48.51</v>
      </c>
      <c r="Y19" s="21">
        <f t="shared" si="3"/>
        <v>50.55</v>
      </c>
      <c r="Z19" s="21">
        <f t="shared" si="3"/>
        <v>48.87</v>
      </c>
      <c r="AA19" s="21">
        <f t="shared" si="3"/>
        <v>48.667499999999997</v>
      </c>
      <c r="AB19" s="21">
        <f t="shared" si="3"/>
        <v>50.977499999999999</v>
      </c>
      <c r="AC19" s="21">
        <f t="shared" si="3"/>
        <v>55.034999999999997</v>
      </c>
      <c r="AD19" s="21">
        <f t="shared" si="3"/>
        <v>58.462499999999999</v>
      </c>
      <c r="AE19" s="21">
        <f t="shared" si="3"/>
        <v>59.587499999999999</v>
      </c>
      <c r="AF19" s="21">
        <f t="shared" si="3"/>
        <v>61.98</v>
      </c>
      <c r="AG19" s="21">
        <f t="shared" si="3"/>
        <v>65.13</v>
      </c>
      <c r="AH19" s="21">
        <f t="shared" si="3"/>
        <v>66.637500000000003</v>
      </c>
      <c r="AI19" s="21">
        <f t="shared" si="3"/>
        <v>68.16749999999999</v>
      </c>
      <c r="AJ19" s="21">
        <f t="shared" si="3"/>
        <v>70.53</v>
      </c>
      <c r="AK19" s="21">
        <f t="shared" si="3"/>
        <v>75.277500000000003</v>
      </c>
      <c r="AL19" s="21">
        <f t="shared" si="3"/>
        <v>80.527500000000003</v>
      </c>
      <c r="AM19" s="21">
        <f t="shared" si="3"/>
        <v>84.524999999999991</v>
      </c>
      <c r="AN19" s="21">
        <f t="shared" si="3"/>
        <v>90.68249999999999</v>
      </c>
      <c r="AO19" s="21">
        <f t="shared" si="3"/>
        <v>93.967500000000001</v>
      </c>
      <c r="AP19" s="21">
        <f t="shared" si="3"/>
        <v>100.14</v>
      </c>
      <c r="AQ19" s="21">
        <f t="shared" si="3"/>
        <v>107.64</v>
      </c>
      <c r="AR19" s="21">
        <f t="shared" si="3"/>
        <v>112.37249999999999</v>
      </c>
      <c r="AS19" s="21">
        <f t="shared" si="3"/>
        <v>117.00749999999999</v>
      </c>
      <c r="AT19" s="21">
        <f t="shared" si="3"/>
        <v>119.55</v>
      </c>
      <c r="AU19" s="21">
        <f t="shared" si="3"/>
        <v>137.82</v>
      </c>
      <c r="AV19" s="21">
        <f t="shared" si="3"/>
        <v>154.19999999999999</v>
      </c>
      <c r="AW19" s="21">
        <f t="shared" si="3"/>
        <v>176.25</v>
      </c>
      <c r="AX19" s="21">
        <f t="shared" si="3"/>
        <v>197.625</v>
      </c>
      <c r="AY19" s="21">
        <f t="shared" si="3"/>
        <v>210.22499999999999</v>
      </c>
      <c r="AZ19" s="21">
        <f t="shared" si="3"/>
        <v>212.25</v>
      </c>
      <c r="BA19" s="21">
        <f t="shared" si="3"/>
        <v>220.125</v>
      </c>
      <c r="BB19" s="21">
        <f t="shared" si="3"/>
        <v>234.75</v>
      </c>
      <c r="BC19" s="21">
        <f>BC18*0.075</f>
        <v>244.79999999999998</v>
      </c>
      <c r="BD19" s="21">
        <f>BD18*0.075</f>
        <v>250.73999999999998</v>
      </c>
    </row>
    <row r="20" spans="1:56" s="21" customFormat="1" x14ac:dyDescent="0.25">
      <c r="A20" s="21">
        <v>4</v>
      </c>
      <c r="B20" s="21" t="s">
        <v>307</v>
      </c>
      <c r="C20" s="21">
        <v>0.17189314750290399</v>
      </c>
      <c r="D20" s="21">
        <v>0.17363530778164901</v>
      </c>
      <c r="E20" s="21">
        <v>0.175377468060395</v>
      </c>
      <c r="F20" s="21">
        <v>0.17770034843205601</v>
      </c>
      <c r="G20" s="21">
        <v>0.18002322880371699</v>
      </c>
      <c r="H20" s="21">
        <v>0.18292682926829301</v>
      </c>
      <c r="I20" s="21">
        <v>0.18815331010453001</v>
      </c>
      <c r="J20" s="21">
        <v>0.193960511033682</v>
      </c>
      <c r="K20" s="21">
        <v>0.202090592334495</v>
      </c>
      <c r="L20" s="21">
        <v>0.21312427409988399</v>
      </c>
      <c r="M20" s="21">
        <v>0.22531939605110299</v>
      </c>
      <c r="N20" s="21">
        <v>0.235191637630662</v>
      </c>
      <c r="O20" s="21">
        <v>0.24274099883856001</v>
      </c>
      <c r="P20" s="21">
        <v>0.257839721254355</v>
      </c>
      <c r="Q20" s="21">
        <v>0.28629500580720102</v>
      </c>
      <c r="R20" s="21">
        <v>0.31242740998838597</v>
      </c>
      <c r="S20" s="21">
        <v>0.33042973286875699</v>
      </c>
      <c r="T20" s="21">
        <v>0.35191637630661998</v>
      </c>
      <c r="U20" s="21">
        <v>0.37862950058071998</v>
      </c>
      <c r="V20" s="21">
        <v>0.42160278745644603</v>
      </c>
      <c r="W20" s="21">
        <v>0.478513356562137</v>
      </c>
      <c r="X20" s="21">
        <v>0.52787456445992997</v>
      </c>
      <c r="Y20" s="21">
        <v>0.56039488966318196</v>
      </c>
      <c r="Z20" s="21">
        <v>0.57839721254355403</v>
      </c>
      <c r="AA20" s="21">
        <v>0.60336817653890795</v>
      </c>
      <c r="AB20" s="21">
        <v>0.62485481997677095</v>
      </c>
      <c r="AC20" s="21">
        <v>0.63646922183507504</v>
      </c>
      <c r="AD20" s="21">
        <v>0.659698025551684</v>
      </c>
      <c r="AE20" s="21">
        <v>0.68699186991869898</v>
      </c>
      <c r="AF20" s="21">
        <v>0.72009291521486596</v>
      </c>
      <c r="AG20" s="21">
        <v>0.75900116144018603</v>
      </c>
      <c r="AH20" s="21">
        <v>0.79094076655052203</v>
      </c>
      <c r="AI20" s="21">
        <v>0.81475029036004598</v>
      </c>
      <c r="AJ20" s="21">
        <v>0.83914053426248603</v>
      </c>
      <c r="AK20" s="21">
        <v>0.86062717770034802</v>
      </c>
      <c r="AL20" s="21">
        <v>0.88501742160278696</v>
      </c>
      <c r="AM20" s="21">
        <v>0.91114982578397197</v>
      </c>
      <c r="AN20" s="21">
        <v>0.93205574912891997</v>
      </c>
      <c r="AO20" s="21">
        <v>0.94657375145180001</v>
      </c>
      <c r="AP20" s="21">
        <v>0.96747967479674801</v>
      </c>
      <c r="AQ20" s="21">
        <v>1</v>
      </c>
      <c r="AR20" s="21">
        <v>1.0284552845528461</v>
      </c>
      <c r="AS20" s="21">
        <v>1.0447154471544717</v>
      </c>
      <c r="AT20" s="21">
        <v>1.068524970963995</v>
      </c>
      <c r="AU20" s="21">
        <v>1.0969802555168411</v>
      </c>
      <c r="AV20" s="21">
        <v>1.1341463414634152</v>
      </c>
      <c r="AW20" s="21">
        <v>1.1707317073170729</v>
      </c>
      <c r="AX20" s="21">
        <v>1.2038327526132409</v>
      </c>
      <c r="AY20" s="21">
        <v>1.2502903600464579</v>
      </c>
      <c r="AZ20" s="21">
        <v>1.2459291521486644</v>
      </c>
      <c r="BA20" s="21">
        <v>1.266</v>
      </c>
      <c r="BB20" s="21">
        <v>1.306252</v>
      </c>
      <c r="BC20" s="92">
        <v>1.333</v>
      </c>
      <c r="BD20" s="21">
        <v>1.3583972125435542</v>
      </c>
    </row>
    <row r="21" spans="1:56" s="18" customFormat="1" x14ac:dyDescent="0.25">
      <c r="A21" s="18">
        <v>5</v>
      </c>
      <c r="B21" s="18" t="s">
        <v>301</v>
      </c>
      <c r="C21" s="18">
        <f>C19/C20</f>
        <v>36.607043918918841</v>
      </c>
      <c r="D21" s="18">
        <f t="shared" ref="D21:BB21" si="4">D19/D20</f>
        <v>38.658612040133825</v>
      </c>
      <c r="E21" s="18">
        <f t="shared" si="4"/>
        <v>41.738543046357584</v>
      </c>
      <c r="F21" s="18">
        <f t="shared" si="4"/>
        <v>44.484999999999935</v>
      </c>
      <c r="G21" s="18">
        <f t="shared" si="4"/>
        <v>46.327354838709581</v>
      </c>
      <c r="H21" s="18">
        <f t="shared" si="4"/>
        <v>50.0609999999999</v>
      </c>
      <c r="I21" s="18">
        <f t="shared" si="4"/>
        <v>54.131388888888779</v>
      </c>
      <c r="J21" s="18">
        <f t="shared" si="4"/>
        <v>57.537485029940051</v>
      </c>
      <c r="K21" s="18">
        <f t="shared" si="4"/>
        <v>59.861767241379241</v>
      </c>
      <c r="L21" s="18">
        <f t="shared" si="4"/>
        <v>63.941566757493142</v>
      </c>
      <c r="M21" s="18">
        <f t="shared" si="4"/>
        <v>70.59978092783517</v>
      </c>
      <c r="N21" s="18">
        <f t="shared" si="4"/>
        <v>72.260222222222211</v>
      </c>
      <c r="O21" s="18">
        <f t="shared" si="4"/>
        <v>76.13052631578941</v>
      </c>
      <c r="P21" s="18">
        <f t="shared" si="4"/>
        <v>84.500168918919044</v>
      </c>
      <c r="Q21" s="18">
        <f t="shared" si="4"/>
        <v>101.09327586206892</v>
      </c>
      <c r="R21" s="18">
        <f t="shared" si="4"/>
        <v>91.965362453531498</v>
      </c>
      <c r="S21" s="18">
        <f t="shared" si="4"/>
        <v>85.910852372583548</v>
      </c>
      <c r="T21" s="18">
        <f t="shared" si="4"/>
        <v>81.795000000000059</v>
      </c>
      <c r="U21" s="18">
        <f t="shared" si="4"/>
        <v>80.322584355828241</v>
      </c>
      <c r="V21" s="18">
        <f t="shared" si="4"/>
        <v>83.378243801652872</v>
      </c>
      <c r="W21" s="18">
        <f t="shared" si="4"/>
        <v>88.58686893203884</v>
      </c>
      <c r="X21" s="18">
        <f t="shared" si="4"/>
        <v>91.896831683168372</v>
      </c>
      <c r="Y21" s="18">
        <f t="shared" si="4"/>
        <v>90.204248704663271</v>
      </c>
      <c r="Z21" s="18">
        <f t="shared" si="4"/>
        <v>84.492108433734927</v>
      </c>
      <c r="AA21" s="18">
        <f t="shared" si="4"/>
        <v>80.659706448508217</v>
      </c>
      <c r="AB21" s="18">
        <f t="shared" si="4"/>
        <v>81.58295074349445</v>
      </c>
      <c r="AC21" s="18">
        <f t="shared" si="4"/>
        <v>86.469224452554798</v>
      </c>
      <c r="AD21" s="18">
        <f t="shared" si="4"/>
        <v>88.620092429577468</v>
      </c>
      <c r="AE21" s="18">
        <f t="shared" si="4"/>
        <v>86.73683431952665</v>
      </c>
      <c r="AF21" s="18">
        <f t="shared" si="4"/>
        <v>86.072225806451669</v>
      </c>
      <c r="AG21" s="18">
        <f t="shared" si="4"/>
        <v>85.810145371078775</v>
      </c>
      <c r="AH21" s="18">
        <f t="shared" si="4"/>
        <v>84.250936123348083</v>
      </c>
      <c r="AI21" s="18">
        <f t="shared" si="4"/>
        <v>83.66673913043482</v>
      </c>
      <c r="AJ21" s="18">
        <f t="shared" si="4"/>
        <v>84.050283737024174</v>
      </c>
      <c r="AK21" s="18">
        <f t="shared" si="4"/>
        <v>87.468188259109354</v>
      </c>
      <c r="AL21" s="18">
        <f t="shared" si="4"/>
        <v>90.989734251968557</v>
      </c>
      <c r="AM21" s="18">
        <f t="shared" si="4"/>
        <v>92.767399617590826</v>
      </c>
      <c r="AN21" s="18">
        <f t="shared" si="4"/>
        <v>97.292999999999978</v>
      </c>
      <c r="AO21" s="18">
        <f t="shared" si="4"/>
        <v>99.271187116564448</v>
      </c>
      <c r="AP21" s="18">
        <f t="shared" si="4"/>
        <v>103.50605042016807</v>
      </c>
      <c r="AQ21" s="18">
        <f t="shared" si="4"/>
        <v>107.64</v>
      </c>
      <c r="AR21" s="18">
        <f t="shared" si="4"/>
        <v>109.26337944664024</v>
      </c>
      <c r="AS21" s="18">
        <f t="shared" si="4"/>
        <v>111.99939688715951</v>
      </c>
      <c r="AT21" s="18">
        <f t="shared" si="4"/>
        <v>111.88320652173917</v>
      </c>
      <c r="AU21" s="18">
        <f t="shared" si="4"/>
        <v>125.63580730545259</v>
      </c>
      <c r="AV21" s="18">
        <f t="shared" si="4"/>
        <v>135.96129032258057</v>
      </c>
      <c r="AW21" s="18">
        <f t="shared" si="4"/>
        <v>150.54687500000003</v>
      </c>
      <c r="AX21" s="18">
        <f t="shared" si="4"/>
        <v>164.16316931982627</v>
      </c>
      <c r="AY21" s="18">
        <f t="shared" si="4"/>
        <v>168.14094287041334</v>
      </c>
      <c r="AZ21" s="18">
        <f t="shared" si="4"/>
        <v>170.35479074710204</v>
      </c>
      <c r="BA21" s="18">
        <f t="shared" si="4"/>
        <v>173.87440758293837</v>
      </c>
      <c r="BB21" s="18">
        <f t="shared" si="4"/>
        <v>179.71264350217263</v>
      </c>
      <c r="BC21" s="18">
        <f>BC19/BC20</f>
        <v>183.64591147786945</v>
      </c>
      <c r="BD21" s="18">
        <f>BD19/BD20</f>
        <v>184.58518442517823</v>
      </c>
    </row>
    <row r="22" spans="1:56" s="50" customFormat="1" x14ac:dyDescent="0.25">
      <c r="A22" s="50">
        <v>6</v>
      </c>
      <c r="B22" s="50" t="s">
        <v>308</v>
      </c>
      <c r="C22" s="50">
        <f>3545693</f>
        <v>3545693</v>
      </c>
      <c r="M22" s="50">
        <v>3730082</v>
      </c>
      <c r="W22" s="50">
        <v>3955000</v>
      </c>
      <c r="AJ22" s="50">
        <v>3904721</v>
      </c>
      <c r="AK22" s="50">
        <v>3906544</v>
      </c>
      <c r="AL22" s="50">
        <v>3912226</v>
      </c>
      <c r="AM22" s="50">
        <v>3933985</v>
      </c>
      <c r="AN22" s="50">
        <v>3944597</v>
      </c>
      <c r="AO22" s="50">
        <v>3906292</v>
      </c>
      <c r="AP22" s="50">
        <v>3917240</v>
      </c>
      <c r="AQ22" s="50">
        <v>3936229</v>
      </c>
      <c r="AR22" s="50">
        <v>3948335</v>
      </c>
      <c r="AS22" s="50">
        <v>3966485</v>
      </c>
      <c r="AT22" s="95">
        <v>3974107</v>
      </c>
      <c r="AU22" s="50">
        <v>3981512</v>
      </c>
      <c r="AV22" s="96">
        <v>3995635</v>
      </c>
      <c r="AW22" s="96">
        <v>4016741</v>
      </c>
    </row>
    <row r="23" spans="1:56" s="50" customFormat="1" x14ac:dyDescent="0.25">
      <c r="A23" s="50">
        <v>7</v>
      </c>
      <c r="B23" s="50" t="s">
        <v>309</v>
      </c>
      <c r="C23" s="50">
        <v>22310</v>
      </c>
      <c r="M23" s="50">
        <v>26309</v>
      </c>
      <c r="W23" s="50">
        <v>29100</v>
      </c>
      <c r="AJ23" s="50">
        <v>29313</v>
      </c>
      <c r="AK23" s="50">
        <v>29474</v>
      </c>
      <c r="AL23" s="50">
        <v>29680</v>
      </c>
      <c r="AM23" s="50">
        <v>29680</v>
      </c>
      <c r="AN23" s="50">
        <v>29872</v>
      </c>
      <c r="AO23" s="50">
        <v>30188</v>
      </c>
      <c r="AP23" s="50">
        <v>30322</v>
      </c>
      <c r="AQ23" s="50">
        <v>30494</v>
      </c>
      <c r="AR23" s="50">
        <v>30623</v>
      </c>
      <c r="AS23" s="50">
        <v>30815</v>
      </c>
      <c r="AT23" s="97">
        <v>30688</v>
      </c>
      <c r="AU23" s="97">
        <v>30808</v>
      </c>
      <c r="AV23" s="96">
        <v>30961</v>
      </c>
      <c r="AW23" s="96">
        <v>31099</v>
      </c>
    </row>
    <row r="24" spans="1:56" s="21" customFormat="1" x14ac:dyDescent="0.25">
      <c r="A24" s="21">
        <v>8</v>
      </c>
      <c r="B24" s="21" t="s">
        <v>310</v>
      </c>
      <c r="C24" s="21">
        <f>C23/C22</f>
        <v>6.2921409157532813E-3</v>
      </c>
      <c r="M24" s="21">
        <f>M23/M22</f>
        <v>7.0531961495752639E-3</v>
      </c>
      <c r="W24" s="21">
        <f>W23/W22</f>
        <v>7.3577749683944376E-3</v>
      </c>
      <c r="AJ24" s="21">
        <f t="shared" ref="AJ24:AV24" si="5">AJ23/AJ22</f>
        <v>7.5070664459765497E-3</v>
      </c>
      <c r="AK24" s="21">
        <f t="shared" si="5"/>
        <v>7.5447761499678485E-3</v>
      </c>
      <c r="AL24" s="21">
        <f t="shared" si="5"/>
        <v>7.5864737875572632E-3</v>
      </c>
      <c r="AM24" s="21">
        <f t="shared" si="5"/>
        <v>7.5445127523363718E-3</v>
      </c>
      <c r="AN24" s="21">
        <f t="shared" si="5"/>
        <v>7.5728902090631822E-3</v>
      </c>
      <c r="AO24" s="21">
        <f t="shared" si="5"/>
        <v>7.7280449080611487E-3</v>
      </c>
      <c r="AP24" s="21">
        <f t="shared" si="5"/>
        <v>7.7406541340331462E-3</v>
      </c>
      <c r="AQ24" s="21">
        <f t="shared" si="5"/>
        <v>7.7470086217036665E-3</v>
      </c>
      <c r="AR24" s="21">
        <f t="shared" si="5"/>
        <v>7.7559274985531876E-3</v>
      </c>
      <c r="AS24" s="21">
        <f t="shared" si="5"/>
        <v>7.7688431949194314E-3</v>
      </c>
      <c r="AT24" s="21">
        <f t="shared" si="5"/>
        <v>7.7219863481280196E-3</v>
      </c>
      <c r="AU24" s="21">
        <f t="shared" si="5"/>
        <v>7.7377639449535754E-3</v>
      </c>
      <c r="AV24" s="21">
        <f t="shared" si="5"/>
        <v>7.7487057751771619E-3</v>
      </c>
      <c r="AW24" s="21">
        <f>AW23/AW22</f>
        <v>7.7423463449597576E-3</v>
      </c>
    </row>
    <row r="25" spans="1:56" s="21" customFormat="1" x14ac:dyDescent="0.25">
      <c r="A25" s="21">
        <v>9</v>
      </c>
      <c r="B25" s="21" t="s">
        <v>311</v>
      </c>
      <c r="D25" s="21">
        <v>6.2921409157532813E-3</v>
      </c>
      <c r="E25" s="21">
        <v>6.2921409157532813E-3</v>
      </c>
      <c r="F25" s="21">
        <v>6.2921409157532813E-3</v>
      </c>
      <c r="G25" s="21">
        <v>6.2921409157532813E-3</v>
      </c>
      <c r="H25" s="21">
        <v>6.2921409157532813E-3</v>
      </c>
      <c r="I25" s="21">
        <v>7.0531961495752639E-3</v>
      </c>
      <c r="J25" s="21">
        <v>7.0531961495752639E-3</v>
      </c>
      <c r="K25" s="21">
        <v>7.0531961495752639E-3</v>
      </c>
      <c r="L25" s="21">
        <v>7.0531961495752639E-3</v>
      </c>
      <c r="N25" s="21">
        <v>7.0531961495752596E-3</v>
      </c>
      <c r="O25" s="21">
        <v>7.0531961495752596E-3</v>
      </c>
      <c r="P25" s="21">
        <v>7.0531961495752596E-3</v>
      </c>
      <c r="Q25" s="21">
        <v>7.0531961495752596E-3</v>
      </c>
      <c r="R25" s="21">
        <v>7.0531961495752596E-3</v>
      </c>
      <c r="S25" s="21">
        <v>7.3577749683944376E-3</v>
      </c>
      <c r="T25" s="21">
        <v>7.3577749683944376E-3</v>
      </c>
      <c r="U25" s="21">
        <v>7.3577749683944376E-3</v>
      </c>
      <c r="V25" s="21">
        <v>7.3577749683944376E-3</v>
      </c>
      <c r="X25" s="21">
        <v>7.3577749683944402E-3</v>
      </c>
      <c r="Y25" s="21">
        <v>7.3577749683944402E-3</v>
      </c>
      <c r="Z25" s="21">
        <v>7.3577749683944402E-3</v>
      </c>
      <c r="AA25" s="21">
        <v>7.3577749683944402E-3</v>
      </c>
      <c r="AB25" s="21">
        <v>7.3577749683944402E-3</v>
      </c>
      <c r="AC25" s="21">
        <v>7.3577749683944402E-3</v>
      </c>
      <c r="AD25" s="21">
        <v>7.5070664459765497E-3</v>
      </c>
      <c r="AE25" s="21">
        <v>7.5070664459765497E-3</v>
      </c>
      <c r="AF25" s="21">
        <v>7.5070664459765497E-3</v>
      </c>
      <c r="AG25" s="21">
        <v>7.5070664459765497E-3</v>
      </c>
      <c r="AH25" s="21">
        <v>7.5070664459765497E-3</v>
      </c>
      <c r="AI25" s="21">
        <v>7.5070664459765497E-3</v>
      </c>
      <c r="AX25" s="21">
        <v>7.7423463449597576E-3</v>
      </c>
      <c r="AY25" s="21">
        <v>7.7423463449597576E-3</v>
      </c>
      <c r="AZ25" s="21">
        <v>7.7423463449597576E-3</v>
      </c>
      <c r="BA25" s="21">
        <v>7.7423463449597576E-3</v>
      </c>
      <c r="BB25" s="21">
        <v>7.7423463449597576E-3</v>
      </c>
      <c r="BC25" s="21">
        <v>7.7423463449597576E-3</v>
      </c>
      <c r="BD25" s="21">
        <v>7.7423463449597576E-3</v>
      </c>
    </row>
    <row r="26" spans="1:56" s="28" customFormat="1" x14ac:dyDescent="0.25">
      <c r="A26" s="28">
        <v>10</v>
      </c>
      <c r="B26" s="28" t="s">
        <v>312</v>
      </c>
      <c r="C26" s="28">
        <v>6.2921409157532813E-3</v>
      </c>
      <c r="D26" s="28">
        <v>6.2921409157532813E-3</v>
      </c>
      <c r="E26" s="28">
        <v>6.2921409157532813E-3</v>
      </c>
      <c r="F26" s="28">
        <v>6.2921409157532813E-3</v>
      </c>
      <c r="G26" s="28">
        <v>6.2921409157532813E-3</v>
      </c>
      <c r="H26" s="28">
        <v>6.2921409157532813E-3</v>
      </c>
      <c r="I26" s="28">
        <v>7.0531961495752639E-3</v>
      </c>
      <c r="J26" s="28">
        <v>7.0531961495752639E-3</v>
      </c>
      <c r="K26" s="28">
        <v>7.0531961495752639E-3</v>
      </c>
      <c r="L26" s="28">
        <v>7.0531961495752639E-3</v>
      </c>
      <c r="M26" s="28">
        <v>7.0531961495752639E-3</v>
      </c>
      <c r="N26" s="28">
        <v>7.0531961495752596E-3</v>
      </c>
      <c r="O26" s="28">
        <v>7.0531961495752596E-3</v>
      </c>
      <c r="P26" s="28">
        <v>7.0531961495752596E-3</v>
      </c>
      <c r="Q26" s="28">
        <v>7.0531961495752596E-3</v>
      </c>
      <c r="R26" s="28">
        <v>7.0531961495752596E-3</v>
      </c>
      <c r="S26" s="28">
        <v>7.3577749683944376E-3</v>
      </c>
      <c r="T26" s="28">
        <v>7.3577749683944376E-3</v>
      </c>
      <c r="U26" s="28">
        <v>7.3577749683944376E-3</v>
      </c>
      <c r="V26" s="28">
        <v>7.3577749683944376E-3</v>
      </c>
      <c r="W26" s="28">
        <v>7.3577749683944376E-3</v>
      </c>
      <c r="X26" s="28">
        <v>7.3577749683944402E-3</v>
      </c>
      <c r="Y26" s="28">
        <v>7.3577749683944402E-3</v>
      </c>
      <c r="Z26" s="28">
        <v>7.3577749683944402E-3</v>
      </c>
      <c r="AA26" s="28">
        <v>7.3577749683944402E-3</v>
      </c>
      <c r="AB26" s="28">
        <v>7.3577749683944402E-3</v>
      </c>
      <c r="AC26" s="28">
        <v>7.3577749683944402E-3</v>
      </c>
      <c r="AD26" s="28">
        <v>7.5070664459765497E-3</v>
      </c>
      <c r="AE26" s="28">
        <v>7.5070664459765497E-3</v>
      </c>
      <c r="AF26" s="28">
        <v>7.5070664459765497E-3</v>
      </c>
      <c r="AG26" s="28">
        <v>7.5070664459765497E-3</v>
      </c>
      <c r="AH26" s="28">
        <v>7.5070664459765497E-3</v>
      </c>
      <c r="AI26" s="28">
        <v>7.5070664459765497E-3</v>
      </c>
      <c r="AJ26" s="28">
        <v>7.5070664459765497E-3</v>
      </c>
      <c r="AK26" s="28">
        <v>7.5447761499678485E-3</v>
      </c>
      <c r="AL26" s="28">
        <v>7.5864737875572632E-3</v>
      </c>
      <c r="AM26" s="28">
        <v>7.5445127523363718E-3</v>
      </c>
      <c r="AN26" s="28">
        <v>7.5728902090631822E-3</v>
      </c>
      <c r="AO26" s="28">
        <v>7.7280449080611487E-3</v>
      </c>
      <c r="AP26" s="28">
        <v>7.7406541340331462E-3</v>
      </c>
      <c r="AQ26" s="28">
        <v>7.7470086217036665E-3</v>
      </c>
      <c r="AR26" s="28">
        <v>7.7559274985531876E-3</v>
      </c>
      <c r="AS26" s="28">
        <v>7.7688431949194314E-3</v>
      </c>
      <c r="AT26" s="28">
        <v>7.7219863481280196E-3</v>
      </c>
      <c r="AU26" s="28">
        <v>7.7377639449535754E-3</v>
      </c>
      <c r="AV26" s="28">
        <v>7.7487057751771619E-3</v>
      </c>
      <c r="AW26" s="28">
        <v>7.7423463449597576E-3</v>
      </c>
      <c r="AX26" s="28">
        <v>7.7423463449597576E-3</v>
      </c>
      <c r="AY26" s="28">
        <v>7.7423463449597576E-3</v>
      </c>
      <c r="AZ26" s="28">
        <v>7.7423463449597576E-3</v>
      </c>
      <c r="BA26" s="28">
        <v>7.7423463449597576E-3</v>
      </c>
      <c r="BB26" s="28">
        <v>7.7423463449597576E-3</v>
      </c>
      <c r="BC26" s="28">
        <v>7.7423463449597576E-3</v>
      </c>
      <c r="BD26" s="28">
        <v>7.7423463449597576E-3</v>
      </c>
    </row>
    <row r="27" spans="1:56" s="38" customFormat="1" x14ac:dyDescent="0.25"/>
    <row r="28" spans="1:56" x14ac:dyDescent="0.25">
      <c r="BA28" s="72"/>
      <c r="BB28" s="38"/>
    </row>
    <row r="29" spans="1:56" x14ac:dyDescent="0.25">
      <c r="A29" s="125" t="s">
        <v>31</v>
      </c>
      <c r="B29" s="125"/>
    </row>
    <row r="30" spans="1:56" x14ac:dyDescent="0.25">
      <c r="A30" s="14">
        <v>1</v>
      </c>
      <c r="B30" s="14" t="s">
        <v>313</v>
      </c>
      <c r="AX30" s="38"/>
      <c r="AY30" s="38"/>
      <c r="AZ30" s="38"/>
      <c r="BA30" s="38"/>
    </row>
    <row r="31" spans="1:56" x14ac:dyDescent="0.25">
      <c r="A31" s="14">
        <v>2</v>
      </c>
      <c r="B31" s="14" t="s">
        <v>314</v>
      </c>
      <c r="AX31" s="38"/>
      <c r="AY31" s="38"/>
      <c r="AZ31" s="38"/>
      <c r="BA31" s="38"/>
    </row>
    <row r="32" spans="1:56" x14ac:dyDescent="0.25">
      <c r="B32" s="14" t="s">
        <v>315</v>
      </c>
      <c r="AU32" s="14" t="s">
        <v>316</v>
      </c>
      <c r="AV32" s="14" t="s">
        <v>317</v>
      </c>
    </row>
    <row r="33" spans="1:53" x14ac:dyDescent="0.25">
      <c r="A33" s="14">
        <v>3</v>
      </c>
      <c r="B33" s="14" t="s">
        <v>318</v>
      </c>
    </row>
    <row r="34" spans="1:53" x14ac:dyDescent="0.25">
      <c r="A34" s="14">
        <v>4</v>
      </c>
      <c r="B34" s="14" t="s">
        <v>319</v>
      </c>
    </row>
    <row r="35" spans="1:53" ht="14" x14ac:dyDescent="0.3">
      <c r="A35" s="14">
        <v>5</v>
      </c>
      <c r="B35" s="14" t="s">
        <v>320</v>
      </c>
      <c r="AZ35" s="14" t="s">
        <v>321</v>
      </c>
      <c r="BA35" s="31" t="s">
        <v>322</v>
      </c>
    </row>
    <row r="36" spans="1:53" x14ac:dyDescent="0.25">
      <c r="A36" s="14">
        <v>6</v>
      </c>
      <c r="B36" s="14" t="s">
        <v>323</v>
      </c>
    </row>
    <row r="37" spans="1:53" x14ac:dyDescent="0.25">
      <c r="A37" s="14">
        <v>7</v>
      </c>
      <c r="B37" s="14" t="s">
        <v>323</v>
      </c>
    </row>
    <row r="38" spans="1:53" x14ac:dyDescent="0.25">
      <c r="A38" s="14">
        <v>8</v>
      </c>
      <c r="B38" s="14" t="s">
        <v>324</v>
      </c>
    </row>
    <row r="39" spans="1:53" x14ac:dyDescent="0.25">
      <c r="A39" s="14">
        <v>9</v>
      </c>
      <c r="B39" s="14" t="s">
        <v>325</v>
      </c>
    </row>
    <row r="40" spans="1:53" x14ac:dyDescent="0.25">
      <c r="A40" s="14">
        <v>10</v>
      </c>
      <c r="B40" s="14" t="s">
        <v>326</v>
      </c>
    </row>
    <row r="43" spans="1:53" x14ac:dyDescent="0.25">
      <c r="A43" s="141" t="s">
        <v>327</v>
      </c>
      <c r="B43" s="141"/>
    </row>
    <row r="44" spans="1:53" x14ac:dyDescent="0.25">
      <c r="A44" s="131" t="s">
        <v>328</v>
      </c>
      <c r="B44" s="131"/>
      <c r="C44" s="131"/>
      <c r="D44" s="131"/>
      <c r="E44" s="131"/>
      <c r="F44" s="131"/>
    </row>
    <row r="47" spans="1:53" ht="14" x14ac:dyDescent="0.3">
      <c r="A47" s="141" t="s">
        <v>159</v>
      </c>
      <c r="B47" s="143"/>
    </row>
    <row r="48" spans="1:53" ht="180.75" customHeight="1" x14ac:dyDescent="0.25">
      <c r="A48" s="137" t="s">
        <v>329</v>
      </c>
      <c r="B48" s="137"/>
      <c r="C48" s="137"/>
      <c r="D48" s="137"/>
      <c r="E48" s="137"/>
      <c r="F48" s="137"/>
      <c r="G48" s="62"/>
      <c r="H48" s="62"/>
      <c r="I48" s="62"/>
      <c r="J48" s="62"/>
      <c r="K48" s="62"/>
    </row>
    <row r="49" spans="1:11" x14ac:dyDescent="0.25">
      <c r="A49" s="98"/>
      <c r="B49" s="98"/>
      <c r="C49" s="98"/>
      <c r="D49" s="98"/>
      <c r="E49" s="98"/>
      <c r="F49" s="98"/>
      <c r="G49" s="62"/>
      <c r="H49" s="62"/>
      <c r="I49" s="62"/>
      <c r="J49" s="62"/>
      <c r="K49" s="62"/>
    </row>
    <row r="51" spans="1:11" ht="14" x14ac:dyDescent="0.3">
      <c r="A51" s="141" t="s">
        <v>161</v>
      </c>
      <c r="B51" s="142"/>
    </row>
    <row r="52" spans="1:11" ht="78" customHeight="1" x14ac:dyDescent="0.25">
      <c r="A52" s="133"/>
      <c r="B52" s="136"/>
      <c r="C52" s="136"/>
      <c r="D52" s="136"/>
      <c r="E52" s="136"/>
      <c r="F52" s="136"/>
      <c r="G52" s="136"/>
      <c r="H52" s="136"/>
      <c r="I52" s="136"/>
      <c r="J52" s="136"/>
      <c r="K52" s="136"/>
    </row>
    <row r="53" spans="1:11" x14ac:dyDescent="0.25">
      <c r="A53" s="62"/>
      <c r="B53" s="99"/>
      <c r="C53" s="99"/>
      <c r="D53" s="99"/>
      <c r="E53" s="99"/>
      <c r="F53" s="99"/>
      <c r="G53" s="99"/>
      <c r="H53" s="99"/>
      <c r="I53" s="99"/>
      <c r="J53" s="99"/>
      <c r="K53" s="99"/>
    </row>
    <row r="55" spans="1:11" ht="14" x14ac:dyDescent="0.3">
      <c r="A55" s="141" t="s">
        <v>162</v>
      </c>
      <c r="B55" s="142"/>
    </row>
    <row r="56" spans="1:11" ht="110" customHeight="1" x14ac:dyDescent="0.25">
      <c r="A56" s="133"/>
      <c r="B56" s="133"/>
      <c r="C56" s="133"/>
      <c r="D56" s="133"/>
      <c r="E56" s="133"/>
      <c r="F56" s="133"/>
      <c r="G56" s="133"/>
      <c r="H56" s="133"/>
      <c r="I56" s="133"/>
      <c r="J56" s="133"/>
      <c r="K56" s="133"/>
    </row>
    <row r="58" spans="1:11" customFormat="1" x14ac:dyDescent="0.3"/>
    <row r="59" spans="1:11" customFormat="1" x14ac:dyDescent="0.3"/>
    <row r="60" spans="1:11" customFormat="1" ht="107" customHeight="1" x14ac:dyDescent="0.3"/>
    <row r="61" spans="1:11" customFormat="1" x14ac:dyDescent="0.3"/>
    <row r="62" spans="1:11" customFormat="1" x14ac:dyDescent="0.3"/>
    <row r="63" spans="1:11" customFormat="1" ht="15.75" customHeight="1" x14ac:dyDescent="0.3"/>
    <row r="64" spans="1:11" customFormat="1" x14ac:dyDescent="0.3"/>
    <row r="65" customFormat="1" x14ac:dyDescent="0.3"/>
    <row r="66" customFormat="1" x14ac:dyDescent="0.3"/>
    <row r="67" customFormat="1" x14ac:dyDescent="0.3"/>
    <row r="68" customFormat="1" x14ac:dyDescent="0.3"/>
  </sheetData>
  <mergeCells count="11">
    <mergeCell ref="A47:B47"/>
    <mergeCell ref="A7:B7"/>
    <mergeCell ref="A16:B16"/>
    <mergeCell ref="A29:B29"/>
    <mergeCell ref="A43:B43"/>
    <mergeCell ref="A44:F44"/>
    <mergeCell ref="A48:F48"/>
    <mergeCell ref="A51:B51"/>
    <mergeCell ref="A52:K52"/>
    <mergeCell ref="A55:B55"/>
    <mergeCell ref="A56:K56"/>
  </mergeCells>
  <hyperlinks>
    <hyperlink ref="BA35" r:id="rId1"/>
  </hyperlinks>
  <pageMargins left="0.75000000000000011" right="0.75000000000000011" top="1" bottom="1" header="0.5" footer="0.5"/>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30"/>
  <sheetViews>
    <sheetView zoomScale="80" zoomScaleNormal="80" workbookViewId="0">
      <pane xSplit="2" ySplit="2" topLeftCell="C21" activePane="bottomRight" state="frozen"/>
      <selection activeCell="A42" sqref="A42:F42"/>
      <selection pane="topRight" activeCell="A42" sqref="A42:F42"/>
      <selection pane="bottomLeft" activeCell="A42" sqref="A42:F42"/>
      <selection pane="bottomRight" activeCell="A42" sqref="A42:F42"/>
    </sheetView>
  </sheetViews>
  <sheetFormatPr defaultColWidth="11" defaultRowHeight="13.5" x14ac:dyDescent="0.25"/>
  <cols>
    <col min="1" max="1" width="10.53515625" style="14" customWidth="1"/>
    <col min="2" max="2" width="55.53515625" style="14" customWidth="1"/>
    <col min="3" max="54" width="15.53515625" style="14" customWidth="1"/>
    <col min="55" max="56" width="16.15234375" style="14" bestFit="1" customWidth="1"/>
    <col min="57" max="16384" width="11" style="14"/>
  </cols>
  <sheetData>
    <row r="1" spans="1:56" s="3" customFormat="1" ht="18" thickBot="1" x14ac:dyDescent="0.4">
      <c r="A1" s="2" t="s">
        <v>330</v>
      </c>
      <c r="B1" s="2"/>
      <c r="C1" s="2"/>
      <c r="D1" s="2"/>
      <c r="E1" s="2"/>
    </row>
    <row r="2" spans="1:56" s="7" customFormat="1" ht="14" thickTop="1" x14ac:dyDescent="0.25">
      <c r="B2" s="6" t="s">
        <v>57</v>
      </c>
      <c r="C2" s="7">
        <v>1960</v>
      </c>
      <c r="D2" s="7">
        <v>1961</v>
      </c>
      <c r="E2" s="7">
        <v>1962</v>
      </c>
      <c r="F2" s="7">
        <v>1963</v>
      </c>
      <c r="G2" s="7">
        <v>1964</v>
      </c>
      <c r="H2" s="7">
        <v>1965</v>
      </c>
      <c r="I2" s="7">
        <v>1966</v>
      </c>
      <c r="J2" s="7">
        <v>1967</v>
      </c>
      <c r="K2" s="7">
        <v>1968</v>
      </c>
      <c r="L2" s="7">
        <v>1969</v>
      </c>
      <c r="M2" s="7">
        <v>1970</v>
      </c>
      <c r="N2" s="7">
        <v>1971</v>
      </c>
      <c r="O2" s="7">
        <v>1972</v>
      </c>
      <c r="P2" s="7">
        <v>1973</v>
      </c>
      <c r="Q2" s="7">
        <v>1974</v>
      </c>
      <c r="R2" s="7">
        <v>1975</v>
      </c>
      <c r="S2" s="7">
        <v>1976</v>
      </c>
      <c r="T2" s="7">
        <v>1977</v>
      </c>
      <c r="U2" s="7">
        <v>1978</v>
      </c>
      <c r="V2" s="7">
        <v>1979</v>
      </c>
      <c r="W2" s="7">
        <v>1980</v>
      </c>
      <c r="X2" s="7">
        <v>1981</v>
      </c>
      <c r="Y2" s="7">
        <v>1982</v>
      </c>
      <c r="Z2" s="7">
        <v>1983</v>
      </c>
      <c r="AA2" s="7">
        <v>1984</v>
      </c>
      <c r="AB2" s="7">
        <v>1985</v>
      </c>
      <c r="AC2" s="7">
        <v>1986</v>
      </c>
      <c r="AD2" s="7">
        <v>1987</v>
      </c>
      <c r="AE2" s="7">
        <v>1988</v>
      </c>
      <c r="AF2" s="7">
        <v>1989</v>
      </c>
      <c r="AG2" s="7">
        <v>1990</v>
      </c>
      <c r="AH2" s="7">
        <v>1991</v>
      </c>
      <c r="AI2" s="7">
        <v>1992</v>
      </c>
      <c r="AJ2" s="7">
        <v>1993</v>
      </c>
      <c r="AK2" s="7">
        <v>1994</v>
      </c>
      <c r="AL2" s="7">
        <v>1995</v>
      </c>
      <c r="AM2" s="7">
        <v>1996</v>
      </c>
      <c r="AN2" s="7">
        <v>1997</v>
      </c>
      <c r="AO2" s="7">
        <v>1998</v>
      </c>
      <c r="AP2" s="7">
        <v>1999</v>
      </c>
      <c r="AQ2" s="7">
        <v>2000</v>
      </c>
      <c r="AR2" s="7">
        <v>2001</v>
      </c>
      <c r="AS2" s="7">
        <v>2002</v>
      </c>
      <c r="AT2" s="7">
        <v>2003</v>
      </c>
      <c r="AU2" s="7">
        <v>2004</v>
      </c>
      <c r="AV2" s="7">
        <v>2005</v>
      </c>
      <c r="AW2" s="7">
        <v>2006</v>
      </c>
      <c r="AX2" s="7">
        <v>2007</v>
      </c>
      <c r="AY2" s="7">
        <v>2008</v>
      </c>
      <c r="AZ2" s="7">
        <v>2009</v>
      </c>
      <c r="BA2" s="7">
        <v>2010</v>
      </c>
      <c r="BB2" s="7">
        <v>2011</v>
      </c>
      <c r="BC2" s="7">
        <v>2012</v>
      </c>
      <c r="BD2" s="7">
        <v>2013</v>
      </c>
    </row>
    <row r="3" spans="1:56" s="9" customFormat="1" x14ac:dyDescent="0.25">
      <c r="A3" s="8">
        <v>1</v>
      </c>
      <c r="B3" s="36" t="s">
        <v>331</v>
      </c>
      <c r="C3" s="9">
        <v>1.4915518772699941</v>
      </c>
      <c r="D3" s="9">
        <v>1.5509026834535378</v>
      </c>
      <c r="E3" s="9">
        <v>1.6675896783894353</v>
      </c>
      <c r="F3" s="9">
        <v>1.7539096278874513</v>
      </c>
      <c r="G3" s="9">
        <v>1.8874406990152881</v>
      </c>
      <c r="H3" s="9">
        <v>2.0296568559264192</v>
      </c>
      <c r="I3" s="9">
        <v>2.1779479271989932</v>
      </c>
      <c r="J3" s="9">
        <v>2.2947789800004101</v>
      </c>
      <c r="K3" s="9">
        <v>2.4318663337686925</v>
      </c>
      <c r="L3" s="9">
        <v>2.6022484838838973</v>
      </c>
      <c r="M3" s="9">
        <v>2.6735196036152216</v>
      </c>
      <c r="N3" s="9">
        <v>2.7800514087123926</v>
      </c>
      <c r="O3" s="9">
        <v>2.9549260230079897</v>
      </c>
      <c r="P3" s="9">
        <v>3.0882193333469692</v>
      </c>
      <c r="Q3" s="9">
        <v>3.043685266818533</v>
      </c>
      <c r="R3" s="9">
        <v>2.9566224180012259</v>
      </c>
      <c r="S3" s="9">
        <v>3.083953684728642</v>
      </c>
      <c r="T3" s="9">
        <v>3.2450141978297169</v>
      </c>
      <c r="U3" s="9">
        <v>3.4692290821086997</v>
      </c>
      <c r="V3" s="9">
        <v>3.5294647072496983</v>
      </c>
      <c r="W3" s="9">
        <v>3.5089747025576745</v>
      </c>
      <c r="X3" s="9">
        <v>3.5371363550418131</v>
      </c>
      <c r="Y3" s="9">
        <v>3.5947266487227436</v>
      </c>
      <c r="Z3" s="9">
        <v>3.8028785641437834</v>
      </c>
      <c r="AA3" s="9">
        <v>4.1823229744025925</v>
      </c>
      <c r="AB3" s="9">
        <v>4.4540448310187868</v>
      </c>
      <c r="AC3" s="9">
        <v>4.7954398826396769</v>
      </c>
      <c r="AD3" s="9">
        <v>5.0677963027353874</v>
      </c>
      <c r="AE3" s="9">
        <v>5.3526582127309839</v>
      </c>
      <c r="AF3" s="9">
        <v>5.5915219448574716</v>
      </c>
      <c r="AG3" s="9">
        <v>5.6510048744488257</v>
      </c>
      <c r="AH3" s="9">
        <v>5.5787352043764331</v>
      </c>
      <c r="AI3" s="9">
        <v>5.7100393142222376</v>
      </c>
      <c r="AJ3" s="9">
        <v>5.7675343198539082</v>
      </c>
      <c r="AK3" s="9">
        <v>5.9682503966249278</v>
      </c>
      <c r="AL3" s="9">
        <v>6.0975534875815676</v>
      </c>
      <c r="AM3" s="9">
        <v>6.3014274170932882</v>
      </c>
      <c r="AN3" s="9">
        <v>6.5701455172753835</v>
      </c>
      <c r="AO3" s="9">
        <v>6.9310886591021559</v>
      </c>
      <c r="AP3" s="9">
        <v>7.23900889234839</v>
      </c>
      <c r="AQ3" s="9">
        <v>7.6736100334649686</v>
      </c>
      <c r="AR3" s="9">
        <v>7.6710900920863621</v>
      </c>
      <c r="AS3" s="9">
        <v>7.7134173620299755</v>
      </c>
      <c r="AT3" s="9">
        <v>7.6803385827666704</v>
      </c>
      <c r="AU3" s="9">
        <v>7.9907094346622509</v>
      </c>
      <c r="AV3" s="9">
        <f t="shared" ref="AV3:BA3" si="0">AV26</f>
        <v>8.4320529285475061</v>
      </c>
      <c r="AW3" s="9">
        <f t="shared" si="0"/>
        <v>8.7016105911680075</v>
      </c>
      <c r="AX3" s="9">
        <f t="shared" si="0"/>
        <v>8.9645854103388842</v>
      </c>
      <c r="AY3" s="9">
        <f t="shared" si="0"/>
        <v>8.8756676606737521</v>
      </c>
      <c r="AZ3" s="9">
        <f t="shared" si="0"/>
        <v>9.1089726467286365</v>
      </c>
      <c r="BA3" s="9">
        <f t="shared" si="0"/>
        <v>9.247385247253245</v>
      </c>
      <c r="BB3" s="9">
        <f>BB26</f>
        <v>9.5757214539036575</v>
      </c>
      <c r="BC3" s="9">
        <f>BC26</f>
        <v>9.8601234937609004</v>
      </c>
      <c r="BD3" s="9">
        <f>BD26</f>
        <v>10.563434248995854</v>
      </c>
    </row>
    <row r="4" spans="1:56" s="11" customFormat="1" x14ac:dyDescent="0.25">
      <c r="A4" s="8">
        <v>2</v>
      </c>
      <c r="B4" s="100" t="s">
        <v>332</v>
      </c>
      <c r="C4" s="11">
        <v>217332207.02918917</v>
      </c>
      <c r="D4" s="11">
        <v>220530406.731291</v>
      </c>
      <c r="E4" s="11">
        <v>223665066.04196033</v>
      </c>
      <c r="F4" s="11">
        <v>225997085.87152949</v>
      </c>
      <c r="G4" s="11">
        <v>228268924.54420653</v>
      </c>
      <c r="H4" s="11">
        <v>229751190.28800008</v>
      </c>
      <c r="I4" s="11">
        <v>228332973.0640001</v>
      </c>
      <c r="J4" s="11">
        <v>226311801.21183246</v>
      </c>
      <c r="K4" s="11">
        <v>221828735.45048279</v>
      </c>
      <c r="L4" s="11">
        <v>215603024.34655914</v>
      </c>
      <c r="M4" s="11">
        <v>208907783.33403713</v>
      </c>
      <c r="N4" s="11">
        <v>204904024.52352002</v>
      </c>
      <c r="O4" s="11">
        <v>203148420.8862316</v>
      </c>
      <c r="P4" s="11">
        <v>195598986.32627028</v>
      </c>
      <c r="Q4" s="11">
        <v>180072738.18921545</v>
      </c>
      <c r="R4" s="11">
        <v>168598085.36375913</v>
      </c>
      <c r="S4" s="11">
        <v>162858565.61096263</v>
      </c>
      <c r="T4" s="11">
        <v>156150623.33262879</v>
      </c>
      <c r="U4" s="11">
        <v>148141152.83206809</v>
      </c>
      <c r="V4" s="11">
        <v>136406698.42017704</v>
      </c>
      <c r="W4" s="11">
        <v>123148658.32474349</v>
      </c>
      <c r="X4" s="11">
        <v>114320930.5457962</v>
      </c>
      <c r="Y4" s="11">
        <v>110218608.57271387</v>
      </c>
      <c r="Z4" s="11">
        <v>109241153.29237853</v>
      </c>
      <c r="AA4" s="11">
        <v>107071626.64653429</v>
      </c>
      <c r="AB4" s="11">
        <v>105660456.77722052</v>
      </c>
      <c r="AC4" s="11">
        <v>105961571.98798303</v>
      </c>
      <c r="AD4" s="11">
        <v>104381262.59275486</v>
      </c>
      <c r="AE4" s="11">
        <v>102299531.45554496</v>
      </c>
      <c r="AF4" s="11">
        <v>101672772.35608532</v>
      </c>
      <c r="AG4" s="11">
        <v>104842018.17332971</v>
      </c>
      <c r="AH4" s="11">
        <v>101653262.49317041</v>
      </c>
      <c r="AI4" s="11">
        <v>110882617.44123606</v>
      </c>
      <c r="AJ4" s="11">
        <v>113904074.5750106</v>
      </c>
      <c r="AK4" s="11">
        <v>111919960.0555779</v>
      </c>
      <c r="AL4" s="11">
        <v>108979669.54561849</v>
      </c>
      <c r="AM4" s="11">
        <v>111638361.49371491</v>
      </c>
      <c r="AN4" s="11">
        <v>109030308.882489</v>
      </c>
      <c r="AO4" s="11">
        <v>110065297.98745458</v>
      </c>
      <c r="AP4" s="11">
        <v>108810306.52730964</v>
      </c>
      <c r="AQ4" s="11">
        <v>113618723.67149909</v>
      </c>
      <c r="AR4" s="11">
        <v>102151188.05142479</v>
      </c>
      <c r="AS4" s="11">
        <v>98126896.208479971</v>
      </c>
      <c r="AT4" s="11">
        <v>115103961.50759327</v>
      </c>
      <c r="AU4" s="11">
        <v>112850783.90662134</v>
      </c>
      <c r="AV4" s="11">
        <f t="shared" ref="AV4:BA4" si="1">AV32</f>
        <v>112643963.98593132</v>
      </c>
      <c r="AW4" s="11">
        <f t="shared" si="1"/>
        <v>114803388.37666665</v>
      </c>
      <c r="AX4" s="11">
        <f t="shared" si="1"/>
        <v>113219645.35698988</v>
      </c>
      <c r="AY4" s="11">
        <f t="shared" si="1"/>
        <v>109036637.59747328</v>
      </c>
      <c r="AZ4" s="11">
        <f t="shared" si="1"/>
        <v>110551764.57085437</v>
      </c>
      <c r="BA4" s="11">
        <f t="shared" si="1"/>
        <v>114388561.89573461</v>
      </c>
      <c r="BB4" s="11">
        <f>BB32</f>
        <v>113198097.12061687</v>
      </c>
      <c r="BC4" s="11">
        <f>BC32</f>
        <v>110964594.08852215</v>
      </c>
      <c r="BD4" s="11">
        <f>BD32</f>
        <v>110964594.08852215</v>
      </c>
    </row>
    <row r="5" spans="1:56" s="11" customFormat="1" x14ac:dyDescent="0.25">
      <c r="A5" s="8">
        <v>3</v>
      </c>
      <c r="B5" s="100" t="s">
        <v>333</v>
      </c>
      <c r="C5" s="11">
        <v>1089143.6323947699</v>
      </c>
      <c r="D5" s="11">
        <v>1099238.2772702556</v>
      </c>
      <c r="E5" s="11">
        <v>1141624.0515593102</v>
      </c>
      <c r="F5" s="11">
        <v>1182535.1475541515</v>
      </c>
      <c r="G5" s="11">
        <v>1225028.1145467847</v>
      </c>
      <c r="H5" s="11">
        <v>1270815.133475699</v>
      </c>
      <c r="I5" s="11">
        <v>1312458.5446859922</v>
      </c>
      <c r="J5" s="11">
        <v>1334480.8531489233</v>
      </c>
      <c r="K5" s="11">
        <v>1357474.1761566077</v>
      </c>
      <c r="L5" s="11">
        <v>1377545.4446348217</v>
      </c>
      <c r="M5" s="11">
        <v>1380268.2034308624</v>
      </c>
      <c r="N5" s="11">
        <v>1400737.3363063487</v>
      </c>
      <c r="O5" s="11">
        <v>1423741.5343679884</v>
      </c>
      <c r="P5" s="11">
        <v>1441472.7567940052</v>
      </c>
      <c r="Q5" s="11">
        <v>1439821.1097622749</v>
      </c>
      <c r="R5" s="11">
        <v>1409185.6000409836</v>
      </c>
      <c r="S5" s="11">
        <v>1423681.0362187501</v>
      </c>
      <c r="T5" s="11">
        <v>1472888.4078606248</v>
      </c>
      <c r="U5" s="11">
        <v>1538660.508285</v>
      </c>
      <c r="V5" s="11">
        <v>1579108.1434424999</v>
      </c>
      <c r="W5" s="11">
        <v>1589980.0431260415</v>
      </c>
      <c r="X5" s="11">
        <v>1596115.97521375</v>
      </c>
      <c r="Y5" s="11">
        <v>1591322.574195521</v>
      </c>
      <c r="Z5" s="11">
        <v>1620461.717311146</v>
      </c>
      <c r="AA5" s="11">
        <v>1686845.8307249998</v>
      </c>
      <c r="AB5" s="11">
        <v>1720403.316323125</v>
      </c>
      <c r="AC5" s="11">
        <v>1779821.9050295835</v>
      </c>
      <c r="AD5" s="11">
        <v>1830944.7273562502</v>
      </c>
      <c r="AE5" s="11">
        <v>1876452.9789927085</v>
      </c>
      <c r="AF5" s="11">
        <v>1926800.4393762504</v>
      </c>
      <c r="AG5" s="11">
        <v>1960091.0146666667</v>
      </c>
      <c r="AH5" s="11">
        <v>1960432.8223329168</v>
      </c>
      <c r="AI5" s="11">
        <v>1975580.66411</v>
      </c>
      <c r="AJ5" s="11">
        <v>1988764.4719793752</v>
      </c>
      <c r="AK5" s="11">
        <v>2023660.0400312501</v>
      </c>
      <c r="AL5" s="11">
        <v>2045394.6927853127</v>
      </c>
      <c r="AM5" s="11">
        <v>2079344.3181787501</v>
      </c>
      <c r="AN5" s="11">
        <v>2103942.6035315627</v>
      </c>
      <c r="AO5" s="11">
        <v>2115256.72293125</v>
      </c>
      <c r="AP5" s="11">
        <v>2137122.4108150001</v>
      </c>
      <c r="AQ5" s="11">
        <v>2155728.7335782293</v>
      </c>
      <c r="AR5" s="11">
        <v>2156291.2273537503</v>
      </c>
      <c r="AS5" s="11">
        <v>2173030.4332956248</v>
      </c>
      <c r="AT5" s="11">
        <v>2179376.0214141668</v>
      </c>
      <c r="AU5" s="11">
        <v>2195133.8705999996</v>
      </c>
      <c r="AV5" s="11">
        <f t="shared" ref="AV5:BC8" si="2">AV38</f>
        <v>2235330.2901299996</v>
      </c>
      <c r="AW5" s="11">
        <f t="shared" si="2"/>
        <v>2282085.1782300002</v>
      </c>
      <c r="AX5" s="11">
        <f t="shared" si="2"/>
        <v>2292087.2131499997</v>
      </c>
      <c r="AY5" s="11">
        <f t="shared" si="2"/>
        <v>2278318.7941800002</v>
      </c>
      <c r="AZ5" s="11">
        <f t="shared" si="2"/>
        <v>2208388.3650000002</v>
      </c>
      <c r="BA5" s="11">
        <f t="shared" si="2"/>
        <v>2191873.83</v>
      </c>
      <c r="BB5" s="11">
        <f t="shared" si="2"/>
        <v>2271464.46</v>
      </c>
      <c r="BC5" s="11">
        <f t="shared" si="2"/>
        <v>2313108.9449999998</v>
      </c>
      <c r="BD5" s="11">
        <f>BD38</f>
        <v>2319906.7578600002</v>
      </c>
    </row>
    <row r="6" spans="1:56" s="40" customFormat="1" x14ac:dyDescent="0.25">
      <c r="A6" s="8">
        <v>4</v>
      </c>
      <c r="B6" s="101" t="s">
        <v>334</v>
      </c>
      <c r="C6" s="40">
        <v>32.290116931352465</v>
      </c>
      <c r="D6" s="40">
        <v>32.394278598872958</v>
      </c>
      <c r="E6" s="40">
        <v>32.498440266393452</v>
      </c>
      <c r="F6" s="40">
        <v>32.602601933913945</v>
      </c>
      <c r="G6" s="40">
        <v>32.706763601434439</v>
      </c>
      <c r="H6" s="40">
        <v>32.810925268954932</v>
      </c>
      <c r="I6" s="40">
        <v>32.915086936475426</v>
      </c>
      <c r="J6" s="40">
        <v>33.019248603995919</v>
      </c>
      <c r="K6" s="40">
        <v>33.123410271516413</v>
      </c>
      <c r="L6" s="40">
        <v>33.227571939036906</v>
      </c>
      <c r="M6" s="40">
        <v>33.331733606557385</v>
      </c>
      <c r="N6" s="40">
        <v>33.439255327868857</v>
      </c>
      <c r="O6" s="40">
        <v>33.546777049180335</v>
      </c>
      <c r="P6" s="40">
        <v>33.654298770491806</v>
      </c>
      <c r="Q6" s="40">
        <v>33.761820491803284</v>
      </c>
      <c r="R6" s="40">
        <v>33.869342213114756</v>
      </c>
      <c r="S6" s="40">
        <v>33.976863934426227</v>
      </c>
      <c r="T6" s="40">
        <v>34.084385655737705</v>
      </c>
      <c r="U6" s="40">
        <v>34.191907377049176</v>
      </c>
      <c r="V6" s="40">
        <v>34.299429098360655</v>
      </c>
      <c r="W6" s="40">
        <v>34.406950819672133</v>
      </c>
      <c r="X6" s="40">
        <v>34.517940983606557</v>
      </c>
      <c r="Y6" s="40">
        <v>34.628931147540989</v>
      </c>
      <c r="Z6" s="40">
        <v>34.739921311475413</v>
      </c>
      <c r="AA6" s="40">
        <v>34.850911475409838</v>
      </c>
      <c r="AB6" s="40">
        <v>34.961901639344262</v>
      </c>
      <c r="AC6" s="40">
        <v>35.072891803278694</v>
      </c>
      <c r="AD6" s="40">
        <v>35.183881967213118</v>
      </c>
      <c r="AE6" s="40">
        <v>35.294872131147542</v>
      </c>
      <c r="AF6" s="40">
        <v>35.405862295081967</v>
      </c>
      <c r="AG6" s="40">
        <v>35.516852459016398</v>
      </c>
      <c r="AH6" s="40">
        <v>35.833967213114761</v>
      </c>
      <c r="AI6" s="40">
        <v>36.151081967213116</v>
      </c>
      <c r="AJ6" s="40">
        <v>36.468196721311479</v>
      </c>
      <c r="AK6" s="40">
        <v>36.785311475409841</v>
      </c>
      <c r="AL6" s="40">
        <v>37.102426229508204</v>
      </c>
      <c r="AM6" s="40">
        <v>37.419540983606566</v>
      </c>
      <c r="AN6" s="40">
        <v>37.736655737704922</v>
      </c>
      <c r="AO6" s="40">
        <v>38.053770491803284</v>
      </c>
      <c r="AP6" s="40">
        <v>38.370885245901647</v>
      </c>
      <c r="AQ6" s="40">
        <v>38.688000000000002</v>
      </c>
      <c r="AR6" s="40">
        <v>38.274666666666668</v>
      </c>
      <c r="AS6" s="40">
        <v>37.861333333333334</v>
      </c>
      <c r="AT6" s="40">
        <v>37.448</v>
      </c>
      <c r="AU6" s="40">
        <v>37.448</v>
      </c>
      <c r="AV6" s="40">
        <f t="shared" si="2"/>
        <v>38.192</v>
      </c>
      <c r="AW6" s="40">
        <f t="shared" si="2"/>
        <v>37.944000000000003</v>
      </c>
      <c r="AX6" s="40">
        <f t="shared" si="2"/>
        <v>37.82</v>
      </c>
      <c r="AY6" s="40">
        <f t="shared" si="2"/>
        <v>37.82</v>
      </c>
      <c r="AZ6" s="40">
        <f t="shared" si="2"/>
        <v>37.944000000000003</v>
      </c>
      <c r="BA6" s="40">
        <f t="shared" si="2"/>
        <v>38.564</v>
      </c>
      <c r="BB6" s="40">
        <f t="shared" si="2"/>
        <v>38.811999999999998</v>
      </c>
      <c r="BC6" s="40">
        <f t="shared" si="2"/>
        <v>39.308</v>
      </c>
      <c r="BD6" s="40">
        <f>BD39</f>
        <v>42.73796876658951</v>
      </c>
    </row>
    <row r="7" spans="1:56" s="42" customFormat="1" x14ac:dyDescent="0.25">
      <c r="A7" s="8">
        <v>5</v>
      </c>
      <c r="B7" s="102" t="s">
        <v>335</v>
      </c>
      <c r="C7" s="42">
        <v>15474173.107828638</v>
      </c>
      <c r="D7" s="42">
        <v>15667973.640192641</v>
      </c>
      <c r="E7" s="42">
        <v>16324440.46036246</v>
      </c>
      <c r="F7" s="42">
        <v>16963637.982970886</v>
      </c>
      <c r="G7" s="42">
        <v>17629350.176940762</v>
      </c>
      <c r="H7" s="42">
        <v>18346512.965056386</v>
      </c>
      <c r="I7" s="42">
        <v>19007862.32349816</v>
      </c>
      <c r="J7" s="42">
        <v>19387964.220854621</v>
      </c>
      <c r="K7" s="42">
        <v>19784236.590722587</v>
      </c>
      <c r="L7" s="42">
        <v>20139895.758794293</v>
      </c>
      <c r="M7" s="42">
        <v>20242962.107437987</v>
      </c>
      <c r="N7" s="42">
        <v>20609429.911851838</v>
      </c>
      <c r="O7" s="42">
        <v>21015253.524804365</v>
      </c>
      <c r="P7" s="42">
        <v>21345172.123734768</v>
      </c>
      <c r="Q7" s="42">
        <v>21388832.013165284</v>
      </c>
      <c r="R7" s="42">
        <v>21000403.305015877</v>
      </c>
      <c r="S7" s="42">
        <v>21283775.41559606</v>
      </c>
      <c r="T7" s="42">
        <v>22089098.469410293</v>
      </c>
      <c r="U7" s="42">
        <v>23148284.536961816</v>
      </c>
      <c r="V7" s="42">
        <v>23831503.434045978</v>
      </c>
      <c r="W7" s="42">
        <v>24070800.66516307</v>
      </c>
      <c r="X7" s="42">
        <v>24241640.295584735</v>
      </c>
      <c r="Y7" s="42">
        <v>24246551.93635153</v>
      </c>
      <c r="Z7" s="42">
        <v>24769673.520964913</v>
      </c>
      <c r="AA7" s="42">
        <v>25866770.4764749</v>
      </c>
      <c r="AB7" s="42">
        <v>26465371.471127938</v>
      </c>
      <c r="AC7" s="42">
        <v>27466340.485851496</v>
      </c>
      <c r="AD7" s="42">
        <v>28344686.997349143</v>
      </c>
      <c r="AE7" s="42">
        <v>29140833.899609752</v>
      </c>
      <c r="AF7" s="42">
        <v>30016813.651729938</v>
      </c>
      <c r="AG7" s="42">
        <v>30631155.884630293</v>
      </c>
      <c r="AH7" s="42">
        <v>30910037.610756382</v>
      </c>
      <c r="AI7" s="42">
        <v>31424526.549276054</v>
      </c>
      <c r="AJ7" s="42">
        <v>31911727.758459561</v>
      </c>
      <c r="AK7" s="42">
        <v>32754024.552871551</v>
      </c>
      <c r="AL7" s="42">
        <v>33391206.507689647</v>
      </c>
      <c r="AM7" s="42">
        <v>34235568.370572448</v>
      </c>
      <c r="AN7" s="42">
        <v>34934133.397398919</v>
      </c>
      <c r="AO7" s="42">
        <v>35417137.30089467</v>
      </c>
      <c r="AP7" s="42">
        <v>36081442.664003901</v>
      </c>
      <c r="AQ7" s="42">
        <v>36696366.627656803</v>
      </c>
      <c r="AR7" s="42">
        <v>36313784.303817831</v>
      </c>
      <c r="AS7" s="42">
        <v>36200485.014532708</v>
      </c>
      <c r="AT7" s="42">
        <v>35909840.229963794</v>
      </c>
      <c r="AU7" s="42">
        <v>36169484.201940663</v>
      </c>
      <c r="AV7" s="42">
        <f t="shared" si="2"/>
        <v>37563563.153883778</v>
      </c>
      <c r="AW7" s="42">
        <f t="shared" si="2"/>
        <v>38100233.601214014</v>
      </c>
      <c r="AX7" s="42">
        <f t="shared" si="2"/>
        <v>38142164.896586515</v>
      </c>
      <c r="AY7" s="42">
        <f t="shared" si="2"/>
        <v>37913047.390190549</v>
      </c>
      <c r="AZ7" s="42">
        <f t="shared" si="2"/>
        <v>36869838.773486406</v>
      </c>
      <c r="BA7" s="42">
        <f t="shared" si="2"/>
        <v>37192065.847252801</v>
      </c>
      <c r="BB7" s="42">
        <f t="shared" si="2"/>
        <v>38790434.5934688</v>
      </c>
      <c r="BC7" s="42">
        <f t="shared" si="2"/>
        <v>40006422.020426393</v>
      </c>
      <c r="BD7" s="42">
        <f>BD40</f>
        <v>43625165.125881076</v>
      </c>
    </row>
    <row r="8" spans="1:56" s="11" customFormat="1" x14ac:dyDescent="0.25">
      <c r="A8" s="8">
        <v>6</v>
      </c>
      <c r="B8" s="100" t="s">
        <v>336</v>
      </c>
      <c r="C8" s="11">
        <v>297293021.27768552</v>
      </c>
      <c r="D8" s="11">
        <v>301016357.27698165</v>
      </c>
      <c r="E8" s="11">
        <v>313628533.90037137</v>
      </c>
      <c r="F8" s="11">
        <v>325908929.19938284</v>
      </c>
      <c r="G8" s="11">
        <v>338698729.86062622</v>
      </c>
      <c r="H8" s="11">
        <v>352477010.00142139</v>
      </c>
      <c r="I8" s="11">
        <v>365182990.96215808</v>
      </c>
      <c r="J8" s="11">
        <v>372485587.40275973</v>
      </c>
      <c r="K8" s="11">
        <v>380098854.31311339</v>
      </c>
      <c r="L8" s="11">
        <v>386931851.97213876</v>
      </c>
      <c r="M8" s="11">
        <v>388911984.0261637</v>
      </c>
      <c r="N8" s="11">
        <v>395952639.44703883</v>
      </c>
      <c r="O8" s="11">
        <v>403749406.81934154</v>
      </c>
      <c r="P8" s="11">
        <v>410087871.32844669</v>
      </c>
      <c r="Q8" s="11">
        <v>410926674.17413026</v>
      </c>
      <c r="R8" s="11">
        <v>403464101.31856984</v>
      </c>
      <c r="S8" s="11">
        <v>408908305.04520363</v>
      </c>
      <c r="T8" s="11">
        <v>424380338.48470819</v>
      </c>
      <c r="U8" s="11">
        <v>444729640.76557219</v>
      </c>
      <c r="V8" s="11">
        <v>457855783.83588582</v>
      </c>
      <c r="W8" s="11">
        <v>462453211.84230983</v>
      </c>
      <c r="X8" s="11">
        <v>465735418.23408949</v>
      </c>
      <c r="Y8" s="11">
        <v>465829781.69459975</v>
      </c>
      <c r="Z8" s="11">
        <v>475880102.01230401</v>
      </c>
      <c r="AA8" s="11">
        <v>496957756.13090158</v>
      </c>
      <c r="AB8" s="11">
        <v>508458202.51987201</v>
      </c>
      <c r="AC8" s="11">
        <v>527689026.71441084</v>
      </c>
      <c r="AD8" s="11">
        <v>544564001.95943654</v>
      </c>
      <c r="AE8" s="11">
        <v>559859741.27323425</v>
      </c>
      <c r="AF8" s="11">
        <v>576689245.84651184</v>
      </c>
      <c r="AG8" s="11">
        <v>588492116.16757751</v>
      </c>
      <c r="AH8" s="11">
        <v>593850049.69729972</v>
      </c>
      <c r="AI8" s="11">
        <v>603734517.82885253</v>
      </c>
      <c r="AJ8" s="11">
        <v>613094728.44812167</v>
      </c>
      <c r="AK8" s="11">
        <v>629277109.05601108</v>
      </c>
      <c r="AL8" s="11">
        <v>641518780.84884238</v>
      </c>
      <c r="AM8" s="11">
        <v>657740835.98024607</v>
      </c>
      <c r="AN8" s="11">
        <v>671161812.07615805</v>
      </c>
      <c r="AO8" s="11">
        <v>680441383.18852472</v>
      </c>
      <c r="AP8" s="11">
        <v>693204155.52366138</v>
      </c>
      <c r="AQ8" s="11">
        <v>705018202.17652786</v>
      </c>
      <c r="AR8" s="11">
        <v>697667951.26819444</v>
      </c>
      <c r="AS8" s="11">
        <v>695491221.8374536</v>
      </c>
      <c r="AT8" s="11">
        <v>689907293.99064815</v>
      </c>
      <c r="AU8" s="11">
        <v>694895627.80000007</v>
      </c>
      <c r="AV8" s="11">
        <f t="shared" si="2"/>
        <v>721678961.59333324</v>
      </c>
      <c r="AW8" s="11">
        <f t="shared" si="2"/>
        <v>731989585.47000003</v>
      </c>
      <c r="AX8" s="11">
        <f t="shared" si="2"/>
        <v>732795178.20833325</v>
      </c>
      <c r="AY8" s="11">
        <f t="shared" si="2"/>
        <v>728393325.1833334</v>
      </c>
      <c r="AZ8" s="11">
        <f t="shared" si="2"/>
        <v>708350985</v>
      </c>
      <c r="BA8" s="11">
        <f t="shared" si="2"/>
        <v>714541678.33333337</v>
      </c>
      <c r="BB8" s="11">
        <f t="shared" si="2"/>
        <v>745249870</v>
      </c>
      <c r="BC8" s="11">
        <f t="shared" si="2"/>
        <v>768611672.5</v>
      </c>
      <c r="BD8" s="11">
        <f>BD41</f>
        <v>838135715.14523411</v>
      </c>
    </row>
    <row r="9" spans="1:56" s="11" customFormat="1" x14ac:dyDescent="0.25">
      <c r="A9" s="8">
        <v>7</v>
      </c>
      <c r="B9" s="100" t="s">
        <v>337</v>
      </c>
      <c r="C9" s="11">
        <v>1269577418.3084562</v>
      </c>
      <c r="D9" s="11">
        <v>1325671884.6301889</v>
      </c>
      <c r="E9" s="11">
        <v>1439027280.2093663</v>
      </c>
      <c r="F9" s="11">
        <v>1522823450.6210306</v>
      </c>
      <c r="G9" s="11">
        <v>1653882969.4179993</v>
      </c>
      <c r="H9" s="11">
        <v>1794401711.7489023</v>
      </c>
      <c r="I9" s="11">
        <v>1943912595.4379435</v>
      </c>
      <c r="J9" s="11">
        <v>2062650789.5223212</v>
      </c>
      <c r="K9" s="11">
        <v>2204102327.3409929</v>
      </c>
      <c r="L9" s="11">
        <v>2380603490.8097</v>
      </c>
      <c r="M9" s="11">
        <v>2458538931.648953</v>
      </c>
      <c r="N9" s="11">
        <v>2568964555.2153172</v>
      </c>
      <c r="O9" s="11">
        <v>2745473026.0643172</v>
      </c>
      <c r="P9" s="11">
        <v>2886216795.3835783</v>
      </c>
      <c r="Q9" s="11">
        <v>2857195879.0253677</v>
      </c>
      <c r="R9" s="11">
        <v>2781724211.6459622</v>
      </c>
      <c r="S9" s="11">
        <v>2914709986.4930005</v>
      </c>
      <c r="T9" s="11">
        <v>3082236844.956265</v>
      </c>
      <c r="U9" s="11">
        <v>3314143443.9155431</v>
      </c>
      <c r="V9" s="11">
        <v>3385908557.7993073</v>
      </c>
      <c r="W9" s="11">
        <v>3378604804.0333819</v>
      </c>
      <c r="X9" s="11">
        <v>3415542932.4073415</v>
      </c>
      <c r="Y9" s="11">
        <v>3477234074.5691242</v>
      </c>
      <c r="Z9" s="11">
        <v>3686206508.7951155</v>
      </c>
      <c r="AA9" s="11">
        <v>4067491316.6131158</v>
      </c>
      <c r="AB9" s="11">
        <v>4340444762.8002272</v>
      </c>
      <c r="AC9" s="11">
        <v>4681238408.5059385</v>
      </c>
      <c r="AD9" s="11">
        <v>4954911634.0434284</v>
      </c>
      <c r="AE9" s="11">
        <v>5241616431.1055555</v>
      </c>
      <c r="AF9" s="11">
        <v>5480844128.4058676</v>
      </c>
      <c r="AG9" s="11">
        <v>5536973509.510107</v>
      </c>
      <c r="AH9" s="11">
        <v>5467808930.6000357</v>
      </c>
      <c r="AI9" s="11">
        <v>5589729338.8162184</v>
      </c>
      <c r="AJ9" s="11">
        <v>5644056726.9513597</v>
      </c>
      <c r="AK9" s="11">
        <v>5846504229.2034883</v>
      </c>
      <c r="AL9" s="11">
        <v>5978556456.083642</v>
      </c>
      <c r="AM9" s="11">
        <v>6179518385.0884018</v>
      </c>
      <c r="AN9" s="11">
        <v>6450634968.3736753</v>
      </c>
      <c r="AO9" s="11">
        <v>6810398219.9244328</v>
      </c>
      <c r="AP9" s="11">
        <v>7119374153.0218792</v>
      </c>
      <c r="AQ9" s="11">
        <v>7548982399.8051729</v>
      </c>
      <c r="AR9" s="11">
        <v>7558044768.7437916</v>
      </c>
      <c r="AS9" s="11">
        <v>7604430320.3171358</v>
      </c>
      <c r="AT9" s="11">
        <v>7554461669.1900883</v>
      </c>
      <c r="AU9" s="11">
        <v>7867007805.4950466</v>
      </c>
      <c r="AV9" s="11">
        <f t="shared" ref="AV9:BA9" si="3">AV43</f>
        <v>8308139895.6154099</v>
      </c>
      <c r="AW9" s="11">
        <f t="shared" si="3"/>
        <v>8575377132.7109756</v>
      </c>
      <c r="AX9" s="11">
        <f t="shared" si="3"/>
        <v>8839923115.5129185</v>
      </c>
      <c r="AY9" s="11">
        <f t="shared" si="3"/>
        <v>8755257108.8592205</v>
      </c>
      <c r="AZ9" s="11">
        <f t="shared" si="3"/>
        <v>8987359930.5257359</v>
      </c>
      <c r="BA9" s="11">
        <f t="shared" si="3"/>
        <v>9121839065.6033344</v>
      </c>
      <c r="BB9" s="11">
        <f>BB43</f>
        <v>9450886226.4050007</v>
      </c>
      <c r="BC9" s="11">
        <f>BC43</f>
        <v>9737156973.0662498</v>
      </c>
      <c r="BD9" s="11">
        <f>BD43</f>
        <v>10439382105.369568</v>
      </c>
    </row>
    <row r="10" spans="1:56" s="38" customFormat="1" x14ac:dyDescent="0.25">
      <c r="B10" s="103"/>
    </row>
    <row r="11" spans="1:56" s="38" customFormat="1" x14ac:dyDescent="0.25">
      <c r="B11" s="104"/>
    </row>
    <row r="12" spans="1:56" s="38" customFormat="1" x14ac:dyDescent="0.25">
      <c r="A12" s="125" t="s">
        <v>5</v>
      </c>
      <c r="B12" s="125"/>
    </row>
    <row r="13" spans="1:56" x14ac:dyDescent="0.25">
      <c r="A13" s="79">
        <v>1</v>
      </c>
      <c r="B13" s="14" t="s">
        <v>338</v>
      </c>
    </row>
    <row r="14" spans="1:56" s="38" customFormat="1" x14ac:dyDescent="0.25">
      <c r="A14" s="79">
        <v>2</v>
      </c>
      <c r="B14" s="14" t="s">
        <v>339</v>
      </c>
    </row>
    <row r="15" spans="1:56" s="38" customFormat="1" x14ac:dyDescent="0.25">
      <c r="A15" s="79">
        <v>3</v>
      </c>
      <c r="B15" s="14" t="s">
        <v>340</v>
      </c>
    </row>
    <row r="16" spans="1:56" s="38" customFormat="1" x14ac:dyDescent="0.25">
      <c r="A16" s="79">
        <v>4</v>
      </c>
      <c r="B16" s="14" t="s">
        <v>341</v>
      </c>
    </row>
    <row r="17" spans="1:56" s="38" customFormat="1" x14ac:dyDescent="0.25">
      <c r="A17" s="79">
        <v>5</v>
      </c>
      <c r="B17" s="14" t="s">
        <v>342</v>
      </c>
    </row>
    <row r="18" spans="1:56" s="38" customFormat="1" x14ac:dyDescent="0.25">
      <c r="A18" s="79">
        <v>6</v>
      </c>
      <c r="B18" s="14" t="s">
        <v>343</v>
      </c>
    </row>
    <row r="19" spans="1:56" s="38" customFormat="1" x14ac:dyDescent="0.25">
      <c r="A19" s="79">
        <v>7</v>
      </c>
      <c r="B19" s="14" t="s">
        <v>344</v>
      </c>
    </row>
    <row r="20" spans="1:56" s="38" customFormat="1" x14ac:dyDescent="0.25">
      <c r="A20" s="79">
        <v>8</v>
      </c>
      <c r="B20" s="14" t="s">
        <v>345</v>
      </c>
    </row>
    <row r="21" spans="1:56" s="38" customFormat="1" x14ac:dyDescent="0.25">
      <c r="A21" s="79">
        <v>9</v>
      </c>
      <c r="B21" s="14" t="s">
        <v>346</v>
      </c>
    </row>
    <row r="22" spans="1:56" s="38" customFormat="1" x14ac:dyDescent="0.25">
      <c r="A22" s="79">
        <v>10</v>
      </c>
      <c r="B22" s="14" t="s">
        <v>347</v>
      </c>
    </row>
    <row r="23" spans="1:56" s="38" customFormat="1" x14ac:dyDescent="0.25">
      <c r="A23" s="79"/>
      <c r="B23" s="14"/>
    </row>
    <row r="24" spans="1:56" s="38" customFormat="1" x14ac:dyDescent="0.25">
      <c r="A24" s="79"/>
      <c r="B24" s="14"/>
    </row>
    <row r="25" spans="1:56" s="38" customFormat="1" ht="14" x14ac:dyDescent="0.3">
      <c r="A25" s="125" t="s">
        <v>10</v>
      </c>
      <c r="B25" s="145"/>
    </row>
    <row r="26" spans="1:56" s="18" customFormat="1" x14ac:dyDescent="0.25">
      <c r="A26" s="105">
        <v>1</v>
      </c>
      <c r="B26" s="18" t="s">
        <v>348</v>
      </c>
      <c r="C26" s="18">
        <f>(C32+0.3*C40+C43)/1000000000</f>
        <v>1.4915518772699941</v>
      </c>
      <c r="D26" s="18">
        <f t="shared" ref="D26:BB26" si="4">(D32+0.3*D40+D43)/1000000000</f>
        <v>1.5509026834535378</v>
      </c>
      <c r="E26" s="18">
        <f t="shared" si="4"/>
        <v>1.6675896783894353</v>
      </c>
      <c r="F26" s="18">
        <f t="shared" si="4"/>
        <v>1.7539096278874513</v>
      </c>
      <c r="G26" s="18">
        <f t="shared" si="4"/>
        <v>1.8874406990152881</v>
      </c>
      <c r="H26" s="18">
        <f t="shared" si="4"/>
        <v>2.0296568559264192</v>
      </c>
      <c r="I26" s="18">
        <f t="shared" si="4"/>
        <v>2.1779479271989932</v>
      </c>
      <c r="J26" s="18">
        <f t="shared" si="4"/>
        <v>2.2947789800004101</v>
      </c>
      <c r="K26" s="18">
        <f t="shared" si="4"/>
        <v>2.4318663337686925</v>
      </c>
      <c r="L26" s="18">
        <f t="shared" si="4"/>
        <v>2.6022484838838973</v>
      </c>
      <c r="M26" s="18">
        <f t="shared" si="4"/>
        <v>2.6735196036152216</v>
      </c>
      <c r="N26" s="18">
        <f t="shared" si="4"/>
        <v>2.7800514087123926</v>
      </c>
      <c r="O26" s="18">
        <f t="shared" si="4"/>
        <v>2.9549260230079897</v>
      </c>
      <c r="P26" s="18">
        <f t="shared" si="4"/>
        <v>3.0882193333469692</v>
      </c>
      <c r="Q26" s="18">
        <f t="shared" si="4"/>
        <v>3.043685266818533</v>
      </c>
      <c r="R26" s="18">
        <f t="shared" si="4"/>
        <v>2.9566224180012259</v>
      </c>
      <c r="S26" s="18">
        <f t="shared" si="4"/>
        <v>3.083953684728642</v>
      </c>
      <c r="T26" s="18">
        <f t="shared" si="4"/>
        <v>3.2450141978297169</v>
      </c>
      <c r="U26" s="18">
        <f t="shared" si="4"/>
        <v>3.4692290821086997</v>
      </c>
      <c r="V26" s="18">
        <f t="shared" si="4"/>
        <v>3.5294647072496983</v>
      </c>
      <c r="W26" s="18">
        <f t="shared" si="4"/>
        <v>3.5089747025576745</v>
      </c>
      <c r="X26" s="18">
        <f t="shared" si="4"/>
        <v>3.5371363550418131</v>
      </c>
      <c r="Y26" s="18">
        <f t="shared" si="4"/>
        <v>3.5947266487227436</v>
      </c>
      <c r="Z26" s="18">
        <f t="shared" si="4"/>
        <v>3.8028785641437834</v>
      </c>
      <c r="AA26" s="18">
        <f t="shared" si="4"/>
        <v>4.1823229744025925</v>
      </c>
      <c r="AB26" s="18">
        <f t="shared" si="4"/>
        <v>4.4540448310187868</v>
      </c>
      <c r="AC26" s="18">
        <f t="shared" si="4"/>
        <v>4.7954398826396769</v>
      </c>
      <c r="AD26" s="18">
        <f t="shared" si="4"/>
        <v>5.0677963027353874</v>
      </c>
      <c r="AE26" s="18">
        <f t="shared" si="4"/>
        <v>5.3526582127309839</v>
      </c>
      <c r="AF26" s="18">
        <f t="shared" si="4"/>
        <v>5.5915219448574716</v>
      </c>
      <c r="AG26" s="18">
        <f t="shared" si="4"/>
        <v>5.6510048744488257</v>
      </c>
      <c r="AH26" s="18">
        <f t="shared" si="4"/>
        <v>5.5787352043764331</v>
      </c>
      <c r="AI26" s="18">
        <f t="shared" si="4"/>
        <v>5.7100393142222376</v>
      </c>
      <c r="AJ26" s="18">
        <f t="shared" si="4"/>
        <v>5.7675343198539082</v>
      </c>
      <c r="AK26" s="18">
        <f t="shared" si="4"/>
        <v>5.9682503966249278</v>
      </c>
      <c r="AL26" s="18">
        <f t="shared" si="4"/>
        <v>6.0975534875815676</v>
      </c>
      <c r="AM26" s="18">
        <f t="shared" si="4"/>
        <v>6.3014274170932882</v>
      </c>
      <c r="AN26" s="18">
        <f t="shared" si="4"/>
        <v>6.5701455172753835</v>
      </c>
      <c r="AO26" s="18">
        <f t="shared" si="4"/>
        <v>6.9310886591021559</v>
      </c>
      <c r="AP26" s="18">
        <f t="shared" si="4"/>
        <v>7.23900889234839</v>
      </c>
      <c r="AQ26" s="18">
        <f t="shared" si="4"/>
        <v>7.6736100334649686</v>
      </c>
      <c r="AR26" s="18">
        <f t="shared" si="4"/>
        <v>7.6710900920863621</v>
      </c>
      <c r="AS26" s="18">
        <f t="shared" si="4"/>
        <v>7.7134173620299755</v>
      </c>
      <c r="AT26" s="18">
        <f t="shared" si="4"/>
        <v>7.6803385827666704</v>
      </c>
      <c r="AU26" s="18">
        <f t="shared" si="4"/>
        <v>7.9907094346622509</v>
      </c>
      <c r="AV26" s="18">
        <f t="shared" si="4"/>
        <v>8.4320529285475061</v>
      </c>
      <c r="AW26" s="18">
        <f t="shared" si="4"/>
        <v>8.7016105911680075</v>
      </c>
      <c r="AX26" s="18">
        <f t="shared" si="4"/>
        <v>8.9645854103388842</v>
      </c>
      <c r="AY26" s="18">
        <f t="shared" si="4"/>
        <v>8.8756676606737521</v>
      </c>
      <c r="AZ26" s="18">
        <f t="shared" si="4"/>
        <v>9.1089726467286365</v>
      </c>
      <c r="BA26" s="18">
        <f t="shared" si="4"/>
        <v>9.247385247253245</v>
      </c>
      <c r="BB26" s="18">
        <f t="shared" si="4"/>
        <v>9.5757214539036575</v>
      </c>
      <c r="BC26" s="18">
        <f>(BC32+0.3*BC40+BC43)/1000000000</f>
        <v>9.8601234937609004</v>
      </c>
      <c r="BD26" s="18">
        <f>(BD32+0.3*BD40+BD43)/1000000000</f>
        <v>10.563434248995854</v>
      </c>
    </row>
    <row r="27" spans="1:56" s="21" customFormat="1" x14ac:dyDescent="0.25">
      <c r="A27" s="106">
        <v>2</v>
      </c>
      <c r="B27" s="21" t="s">
        <v>349</v>
      </c>
      <c r="AE27" s="21">
        <v>64857495</v>
      </c>
      <c r="AF27" s="21">
        <v>67558407</v>
      </c>
      <c r="AG27" s="21">
        <v>73431980</v>
      </c>
      <c r="AH27" s="21">
        <v>74180669</v>
      </c>
      <c r="AI27" s="21">
        <v>83367728</v>
      </c>
      <c r="AJ27" s="21">
        <v>88202885</v>
      </c>
      <c r="AK27" s="21">
        <v>88871331</v>
      </c>
      <c r="AL27" s="21">
        <v>88972845</v>
      </c>
      <c r="AM27" s="21">
        <v>93836230</v>
      </c>
      <c r="AN27" s="21">
        <v>93729879</v>
      </c>
      <c r="AO27" s="21">
        <v>96086068</v>
      </c>
      <c r="AP27" s="21">
        <v>97075814.551399499</v>
      </c>
      <c r="AQ27" s="21">
        <v>104787899.75556964</v>
      </c>
      <c r="AR27" s="21">
        <v>96844653.298088968</v>
      </c>
      <c r="AS27" s="21">
        <v>94473212</v>
      </c>
      <c r="AT27" s="21">
        <v>113416602</v>
      </c>
      <c r="AU27" s="21">
        <v>114144114</v>
      </c>
      <c r="AV27" s="21">
        <v>117793879</v>
      </c>
      <c r="AW27" s="21">
        <v>123933986</v>
      </c>
      <c r="AX27" s="21">
        <v>125679779</v>
      </c>
      <c r="AY27" s="21">
        <v>125649861</v>
      </c>
      <c r="AZ27" s="21">
        <v>126910631</v>
      </c>
      <c r="BA27" s="21">
        <v>133415917</v>
      </c>
      <c r="BB27" s="21">
        <v>136192547</v>
      </c>
      <c r="BC27" s="107">
        <v>136192549</v>
      </c>
    </row>
    <row r="28" spans="1:56" s="28" customFormat="1" x14ac:dyDescent="0.25">
      <c r="A28" s="108">
        <v>3</v>
      </c>
      <c r="B28" s="28" t="s">
        <v>350</v>
      </c>
      <c r="C28" s="28">
        <f>K28/1.2</f>
        <v>37357917.120000005</v>
      </c>
      <c r="D28" s="28">
        <f>C28+($K28-$C28)/8</f>
        <v>38291865.048000008</v>
      </c>
      <c r="E28" s="28">
        <f t="shared" ref="E28:J28" si="5">D28+($K28-$C28)/8</f>
        <v>39225812.976000011</v>
      </c>
      <c r="F28" s="28">
        <f t="shared" si="5"/>
        <v>40159760.904000014</v>
      </c>
      <c r="G28" s="28">
        <f t="shared" si="5"/>
        <v>41093708.832000017</v>
      </c>
      <c r="H28" s="28">
        <f t="shared" si="5"/>
        <v>42027656.76000002</v>
      </c>
      <c r="I28" s="28">
        <f t="shared" si="5"/>
        <v>42961604.688000023</v>
      </c>
      <c r="J28" s="28">
        <f t="shared" si="5"/>
        <v>43895552.616000026</v>
      </c>
      <c r="K28" s="28">
        <f>U28/1.25</f>
        <v>44829500.544000007</v>
      </c>
      <c r="L28" s="28">
        <f>K28+($U28-$K28)/10</f>
        <v>45950238.057600006</v>
      </c>
      <c r="M28" s="28">
        <f t="shared" ref="M28:T28" si="6">L28+($U28-$K28)/10</f>
        <v>47070975.571200006</v>
      </c>
      <c r="N28" s="28">
        <f t="shared" si="6"/>
        <v>48191713.084800005</v>
      </c>
      <c r="O28" s="28">
        <f t="shared" si="6"/>
        <v>49312450.598400004</v>
      </c>
      <c r="P28" s="28">
        <f t="shared" si="6"/>
        <v>50433188.112000003</v>
      </c>
      <c r="Q28" s="28">
        <f t="shared" si="6"/>
        <v>51553925.625600003</v>
      </c>
      <c r="R28" s="28">
        <f t="shared" si="6"/>
        <v>52674663.139200002</v>
      </c>
      <c r="S28" s="28">
        <f t="shared" si="6"/>
        <v>53795400.652800001</v>
      </c>
      <c r="T28" s="28">
        <f t="shared" si="6"/>
        <v>54916138.1664</v>
      </c>
      <c r="U28" s="28">
        <f>AE28/1.25</f>
        <v>56036875.680000007</v>
      </c>
      <c r="V28" s="28">
        <f>U28+($AE28-$U28)/10</f>
        <v>57437797.572000004</v>
      </c>
      <c r="W28" s="28">
        <f t="shared" ref="W28:AD28" si="7">V28+($AE28-$U28)/10</f>
        <v>58838719.464000002</v>
      </c>
      <c r="X28" s="28">
        <f t="shared" si="7"/>
        <v>60239641.355999999</v>
      </c>
      <c r="Y28" s="28">
        <f t="shared" si="7"/>
        <v>61640563.247999996</v>
      </c>
      <c r="Z28" s="28">
        <f t="shared" si="7"/>
        <v>63041485.139999993</v>
      </c>
      <c r="AA28" s="28">
        <f t="shared" si="7"/>
        <v>64442407.03199999</v>
      </c>
      <c r="AB28" s="28">
        <f t="shared" si="7"/>
        <v>65843328.923999988</v>
      </c>
      <c r="AC28" s="28">
        <f>AB28+($AE28-$U28)/10</f>
        <v>67244250.815999985</v>
      </c>
      <c r="AD28" s="28">
        <f t="shared" si="7"/>
        <v>68645172.707999989</v>
      </c>
      <c r="AE28" s="28">
        <f>AE27*1.08</f>
        <v>70046094.600000009</v>
      </c>
      <c r="AF28" s="28">
        <f t="shared" ref="AF28:BB28" si="8">AF27*1.08</f>
        <v>72963079.560000002</v>
      </c>
      <c r="AG28" s="28">
        <f t="shared" si="8"/>
        <v>79306538.400000006</v>
      </c>
      <c r="AH28" s="28">
        <f t="shared" si="8"/>
        <v>80115122.520000011</v>
      </c>
      <c r="AI28" s="28">
        <f t="shared" si="8"/>
        <v>90037146.24000001</v>
      </c>
      <c r="AJ28" s="28">
        <f t="shared" si="8"/>
        <v>95259115.800000012</v>
      </c>
      <c r="AK28" s="28">
        <f t="shared" si="8"/>
        <v>95981037.480000004</v>
      </c>
      <c r="AL28" s="28">
        <f t="shared" si="8"/>
        <v>96090672.600000009</v>
      </c>
      <c r="AM28" s="28">
        <f t="shared" si="8"/>
        <v>101343128.40000001</v>
      </c>
      <c r="AN28" s="28">
        <f t="shared" si="8"/>
        <v>101228269.32000001</v>
      </c>
      <c r="AO28" s="28">
        <f t="shared" si="8"/>
        <v>103772953.44000001</v>
      </c>
      <c r="AP28" s="28">
        <f t="shared" si="8"/>
        <v>104841879.71551147</v>
      </c>
      <c r="AQ28" s="28">
        <f t="shared" si="8"/>
        <v>113170931.73601522</v>
      </c>
      <c r="AR28" s="28">
        <f t="shared" si="8"/>
        <v>104592225.5619361</v>
      </c>
      <c r="AS28" s="28">
        <f t="shared" si="8"/>
        <v>102031068.96000001</v>
      </c>
      <c r="AT28" s="28">
        <f t="shared" si="8"/>
        <v>122489930.16000001</v>
      </c>
      <c r="AU28" s="28">
        <f t="shared" si="8"/>
        <v>123275643.12</v>
      </c>
      <c r="AV28" s="28">
        <f t="shared" si="8"/>
        <v>127217389.32000001</v>
      </c>
      <c r="AW28" s="28">
        <f t="shared" si="8"/>
        <v>133848704.88000001</v>
      </c>
      <c r="AX28" s="28">
        <f t="shared" si="8"/>
        <v>135734161.32000002</v>
      </c>
      <c r="AY28" s="28">
        <f t="shared" si="8"/>
        <v>135701849.88</v>
      </c>
      <c r="AZ28" s="28">
        <f t="shared" si="8"/>
        <v>137063481.48000002</v>
      </c>
      <c r="BA28" s="28">
        <f t="shared" si="8"/>
        <v>144089190.36000001</v>
      </c>
      <c r="BB28" s="28">
        <f t="shared" si="8"/>
        <v>147087950.76000002</v>
      </c>
      <c r="BC28" s="109">
        <f>BC27*1.08</f>
        <v>147087952.92000002</v>
      </c>
    </row>
    <row r="29" spans="1:56" s="28" customFormat="1" x14ac:dyDescent="0.25">
      <c r="A29" s="108">
        <v>4</v>
      </c>
      <c r="B29" s="28" t="s">
        <v>351</v>
      </c>
      <c r="R29" s="28">
        <v>0</v>
      </c>
      <c r="S29" s="28">
        <f>R29+($AW29/31)</f>
        <v>17911.677419354837</v>
      </c>
      <c r="T29" s="28">
        <f t="shared" ref="T29:AV29" si="9">S29+($AW29/31)</f>
        <v>35823.354838709674</v>
      </c>
      <c r="U29" s="28">
        <f t="shared" si="9"/>
        <v>53735.032258064515</v>
      </c>
      <c r="V29" s="28">
        <f t="shared" si="9"/>
        <v>71646.709677419349</v>
      </c>
      <c r="W29" s="28">
        <f t="shared" si="9"/>
        <v>89558.387096774182</v>
      </c>
      <c r="X29" s="28">
        <f t="shared" si="9"/>
        <v>107470.06451612902</v>
      </c>
      <c r="Y29" s="28">
        <f t="shared" si="9"/>
        <v>125381.74193548385</v>
      </c>
      <c r="Z29" s="28">
        <f t="shared" si="9"/>
        <v>143293.4193548387</v>
      </c>
      <c r="AA29" s="28">
        <f t="shared" si="9"/>
        <v>161205.09677419355</v>
      </c>
      <c r="AB29" s="28">
        <f t="shared" si="9"/>
        <v>179116.77419354839</v>
      </c>
      <c r="AC29" s="28">
        <f t="shared" si="9"/>
        <v>197028.45161290324</v>
      </c>
      <c r="AD29" s="28">
        <f t="shared" si="9"/>
        <v>214940.12903225809</v>
      </c>
      <c r="AE29" s="28">
        <f t="shared" si="9"/>
        <v>232851.80645161294</v>
      </c>
      <c r="AF29" s="28">
        <f t="shared" si="9"/>
        <v>250763.48387096779</v>
      </c>
      <c r="AG29" s="28">
        <f t="shared" si="9"/>
        <v>268675.16129032261</v>
      </c>
      <c r="AH29" s="28">
        <f t="shared" si="9"/>
        <v>286586.83870967745</v>
      </c>
      <c r="AI29" s="28">
        <f t="shared" si="9"/>
        <v>304498.5161290323</v>
      </c>
      <c r="AJ29" s="28">
        <f t="shared" si="9"/>
        <v>322410.19354838715</v>
      </c>
      <c r="AK29" s="28">
        <f t="shared" si="9"/>
        <v>340321.870967742</v>
      </c>
      <c r="AL29" s="28">
        <f t="shared" si="9"/>
        <v>358233.54838709685</v>
      </c>
      <c r="AM29" s="28">
        <f t="shared" si="9"/>
        <v>376145.22580645169</v>
      </c>
      <c r="AN29" s="28">
        <f t="shared" si="9"/>
        <v>394056.90322580654</v>
      </c>
      <c r="AO29" s="28">
        <f t="shared" si="9"/>
        <v>411968.58064516139</v>
      </c>
      <c r="AP29" s="28">
        <f t="shared" si="9"/>
        <v>429880.25806451624</v>
      </c>
      <c r="AQ29" s="28">
        <f t="shared" si="9"/>
        <v>447791.93548387109</v>
      </c>
      <c r="AR29" s="28">
        <f t="shared" si="9"/>
        <v>465703.61290322593</v>
      </c>
      <c r="AS29" s="28">
        <f t="shared" si="9"/>
        <v>483615.29032258078</v>
      </c>
      <c r="AT29" s="28">
        <f t="shared" si="9"/>
        <v>501526.96774193563</v>
      </c>
      <c r="AU29" s="28">
        <f t="shared" si="9"/>
        <v>519438.64516129048</v>
      </c>
      <c r="AV29" s="28">
        <f t="shared" si="9"/>
        <v>537350.32258064533</v>
      </c>
      <c r="AW29" s="28">
        <v>555262</v>
      </c>
      <c r="AX29" s="28">
        <v>563356</v>
      </c>
      <c r="AY29" s="28">
        <v>625607</v>
      </c>
      <c r="AZ29" s="110">
        <v>676168</v>
      </c>
      <c r="BA29" s="110">
        <f>AZ29+(AZ29-AY29)</f>
        <v>726729</v>
      </c>
      <c r="BB29" s="110">
        <f>BA29+(BA29-AZ29)</f>
        <v>777290</v>
      </c>
      <c r="BC29" s="110">
        <f>BB29+(BB29-BA29)</f>
        <v>827851</v>
      </c>
    </row>
    <row r="30" spans="1:56" s="21" customFormat="1" x14ac:dyDescent="0.25">
      <c r="A30" s="106">
        <v>5</v>
      </c>
      <c r="B30" s="21" t="s">
        <v>352</v>
      </c>
      <c r="C30" s="21">
        <f>C28+C29</f>
        <v>37357917.120000005</v>
      </c>
      <c r="D30" s="21">
        <f t="shared" ref="D30:BB30" si="10">D28+D29</f>
        <v>38291865.048000008</v>
      </c>
      <c r="E30" s="21">
        <f t="shared" si="10"/>
        <v>39225812.976000011</v>
      </c>
      <c r="F30" s="21">
        <f t="shared" si="10"/>
        <v>40159760.904000014</v>
      </c>
      <c r="G30" s="21">
        <f t="shared" si="10"/>
        <v>41093708.832000017</v>
      </c>
      <c r="H30" s="21">
        <f t="shared" si="10"/>
        <v>42027656.76000002</v>
      </c>
      <c r="I30" s="21">
        <f t="shared" si="10"/>
        <v>42961604.688000023</v>
      </c>
      <c r="J30" s="21">
        <f t="shared" si="10"/>
        <v>43895552.616000026</v>
      </c>
      <c r="K30" s="21">
        <f t="shared" si="10"/>
        <v>44829500.544000007</v>
      </c>
      <c r="L30" s="21">
        <f t="shared" si="10"/>
        <v>45950238.057600006</v>
      </c>
      <c r="M30" s="21">
        <f t="shared" si="10"/>
        <v>47070975.571200006</v>
      </c>
      <c r="N30" s="21">
        <f t="shared" si="10"/>
        <v>48191713.084800005</v>
      </c>
      <c r="O30" s="21">
        <f t="shared" si="10"/>
        <v>49312450.598400004</v>
      </c>
      <c r="P30" s="21">
        <f t="shared" si="10"/>
        <v>50433188.112000003</v>
      </c>
      <c r="Q30" s="21">
        <f t="shared" si="10"/>
        <v>51553925.625600003</v>
      </c>
      <c r="R30" s="21">
        <f t="shared" si="10"/>
        <v>52674663.139200002</v>
      </c>
      <c r="S30" s="21">
        <f t="shared" si="10"/>
        <v>53813312.330219358</v>
      </c>
      <c r="T30" s="21">
        <f t="shared" si="10"/>
        <v>54951961.521238707</v>
      </c>
      <c r="U30" s="21">
        <f t="shared" si="10"/>
        <v>56090610.712258071</v>
      </c>
      <c r="V30" s="21">
        <f t="shared" si="10"/>
        <v>57509444.281677425</v>
      </c>
      <c r="W30" s="21">
        <f t="shared" si="10"/>
        <v>58928277.851096779</v>
      </c>
      <c r="X30" s="21">
        <f t="shared" si="10"/>
        <v>60347111.420516126</v>
      </c>
      <c r="Y30" s="21">
        <f t="shared" si="10"/>
        <v>61765944.98993548</v>
      </c>
      <c r="Z30" s="21">
        <f t="shared" si="10"/>
        <v>63184778.559354834</v>
      </c>
      <c r="AA30" s="21">
        <f t="shared" si="10"/>
        <v>64603612.128774181</v>
      </c>
      <c r="AB30" s="21">
        <f t="shared" si="10"/>
        <v>66022445.698193535</v>
      </c>
      <c r="AC30" s="21">
        <f t="shared" si="10"/>
        <v>67441279.267612889</v>
      </c>
      <c r="AD30" s="21">
        <f t="shared" si="10"/>
        <v>68860112.837032244</v>
      </c>
      <c r="AE30" s="21">
        <f t="shared" si="10"/>
        <v>70278946.406451628</v>
      </c>
      <c r="AF30" s="21">
        <f t="shared" si="10"/>
        <v>73213843.043870971</v>
      </c>
      <c r="AG30" s="21">
        <f t="shared" si="10"/>
        <v>79575213.561290324</v>
      </c>
      <c r="AH30" s="21">
        <f t="shared" si="10"/>
        <v>80401709.358709693</v>
      </c>
      <c r="AI30" s="21">
        <f t="shared" si="10"/>
        <v>90341644.756129041</v>
      </c>
      <c r="AJ30" s="21">
        <f t="shared" si="10"/>
        <v>95581525.993548393</v>
      </c>
      <c r="AK30" s="21">
        <f t="shared" si="10"/>
        <v>96321359.35096775</v>
      </c>
      <c r="AL30" s="21">
        <f t="shared" si="10"/>
        <v>96448906.148387104</v>
      </c>
      <c r="AM30" s="21">
        <f t="shared" si="10"/>
        <v>101719273.62580645</v>
      </c>
      <c r="AN30" s="21">
        <f t="shared" si="10"/>
        <v>101622326.22322582</v>
      </c>
      <c r="AO30" s="21">
        <f t="shared" si="10"/>
        <v>104184922.02064517</v>
      </c>
      <c r="AP30" s="21">
        <f t="shared" si="10"/>
        <v>105271759.97357599</v>
      </c>
      <c r="AQ30" s="21">
        <f t="shared" si="10"/>
        <v>113618723.67149909</v>
      </c>
      <c r="AR30" s="21">
        <f t="shared" si="10"/>
        <v>105057929.17483932</v>
      </c>
      <c r="AS30" s="21">
        <f t="shared" si="10"/>
        <v>102514684.2503226</v>
      </c>
      <c r="AT30" s="21">
        <f t="shared" si="10"/>
        <v>122991457.12774195</v>
      </c>
      <c r="AU30" s="21">
        <f t="shared" si="10"/>
        <v>123795081.76516129</v>
      </c>
      <c r="AV30" s="111">
        <f t="shared" si="10"/>
        <v>127754739.64258066</v>
      </c>
      <c r="AW30" s="111">
        <f t="shared" si="10"/>
        <v>134403966.88</v>
      </c>
      <c r="AX30" s="21">
        <f t="shared" si="10"/>
        <v>136297517.32000002</v>
      </c>
      <c r="AY30" s="21">
        <f t="shared" si="10"/>
        <v>136327456.88</v>
      </c>
      <c r="AZ30" s="21">
        <f t="shared" si="10"/>
        <v>137739649.48000002</v>
      </c>
      <c r="BA30" s="21">
        <f t="shared" si="10"/>
        <v>144815919.36000001</v>
      </c>
      <c r="BB30" s="21">
        <f t="shared" si="10"/>
        <v>147865240.76000002</v>
      </c>
      <c r="BC30" s="109">
        <f>BC28+BC29</f>
        <v>147915803.92000002</v>
      </c>
    </row>
    <row r="31" spans="1:56" s="21" customFormat="1" x14ac:dyDescent="0.25">
      <c r="A31" s="106">
        <v>6</v>
      </c>
      <c r="B31" s="21" t="s">
        <v>353</v>
      </c>
      <c r="C31" s="21">
        <v>0.17189314750290363</v>
      </c>
      <c r="D31" s="21">
        <v>0.17363530778164926</v>
      </c>
      <c r="E31" s="21">
        <v>0.17537746806039489</v>
      </c>
      <c r="F31" s="21">
        <v>0.17770034843205576</v>
      </c>
      <c r="G31" s="21">
        <v>0.18002322880371663</v>
      </c>
      <c r="H31" s="21">
        <v>0.18292682926829271</v>
      </c>
      <c r="I31" s="21">
        <v>0.18815331010452963</v>
      </c>
      <c r="J31" s="21">
        <v>0.19396051103368178</v>
      </c>
      <c r="K31" s="21">
        <v>0.20209059233449478</v>
      </c>
      <c r="L31" s="21">
        <v>0.21312427409988388</v>
      </c>
      <c r="M31" s="21">
        <v>0.22531939605110338</v>
      </c>
      <c r="N31" s="21">
        <v>0.23519163763066203</v>
      </c>
      <c r="O31" s="21">
        <v>0.24274099883855982</v>
      </c>
      <c r="P31" s="21">
        <v>0.25783972125435539</v>
      </c>
      <c r="Q31" s="21">
        <v>0.28629500580720091</v>
      </c>
      <c r="R31" s="21">
        <v>0.31242740998838558</v>
      </c>
      <c r="S31" s="21">
        <v>0.33042973286875726</v>
      </c>
      <c r="T31" s="21">
        <v>0.35191637630662026</v>
      </c>
      <c r="U31" s="21">
        <v>0.37862950058072015</v>
      </c>
      <c r="V31" s="21">
        <v>0.42160278745644597</v>
      </c>
      <c r="W31" s="21">
        <v>0.47851335656213712</v>
      </c>
      <c r="X31" s="21">
        <v>0.52787456445993042</v>
      </c>
      <c r="Y31" s="21">
        <v>0.56039488966318241</v>
      </c>
      <c r="Z31" s="21">
        <v>0.57839721254355403</v>
      </c>
      <c r="AA31" s="21">
        <v>0.60336817653890829</v>
      </c>
      <c r="AB31" s="21">
        <v>0.62485481997677117</v>
      </c>
      <c r="AC31" s="21">
        <v>0.63646922183507548</v>
      </c>
      <c r="AD31" s="21">
        <v>0.65969802555168411</v>
      </c>
      <c r="AE31" s="21">
        <v>0.68699186991869921</v>
      </c>
      <c r="AF31" s="21">
        <v>0.72009291521486651</v>
      </c>
      <c r="AG31" s="21">
        <v>0.75900116144018581</v>
      </c>
      <c r="AH31" s="21">
        <v>0.79094076655052259</v>
      </c>
      <c r="AI31" s="21">
        <v>0.81475029036004654</v>
      </c>
      <c r="AJ31" s="21">
        <v>0.83914053426248558</v>
      </c>
      <c r="AK31" s="21">
        <v>0.86062717770034847</v>
      </c>
      <c r="AL31" s="21">
        <v>0.88501742160278751</v>
      </c>
      <c r="AM31" s="21">
        <v>0.91114982578397219</v>
      </c>
      <c r="AN31" s="21">
        <v>0.93205574912891997</v>
      </c>
      <c r="AO31" s="21">
        <v>0.94657375145180034</v>
      </c>
      <c r="AP31" s="21">
        <v>0.96747967479674801</v>
      </c>
      <c r="AQ31" s="21">
        <v>1</v>
      </c>
      <c r="AR31" s="21">
        <v>1.0284552845528456</v>
      </c>
      <c r="AS31" s="21">
        <v>1.0447154471544717</v>
      </c>
      <c r="AT31" s="21">
        <v>1.0685249709639955</v>
      </c>
      <c r="AU31" s="21">
        <v>1.0969802555168411</v>
      </c>
      <c r="AV31" s="111">
        <v>1.1341463414634148</v>
      </c>
      <c r="AW31" s="111">
        <v>1.1707317073170733</v>
      </c>
      <c r="AX31" s="21">
        <v>1.2038327526132406</v>
      </c>
      <c r="AY31" s="21">
        <v>1.2502903600464577</v>
      </c>
      <c r="AZ31" s="21">
        <v>1.2459290000000001</v>
      </c>
      <c r="BA31" s="21">
        <v>1.266</v>
      </c>
      <c r="BB31" s="21">
        <v>1.306252</v>
      </c>
      <c r="BC31" s="21">
        <v>1.333</v>
      </c>
      <c r="BD31" s="21">
        <v>1.3583972125435542</v>
      </c>
    </row>
    <row r="32" spans="1:56" s="18" customFormat="1" x14ac:dyDescent="0.25">
      <c r="A32" s="105">
        <v>7</v>
      </c>
      <c r="B32" s="18" t="s">
        <v>354</v>
      </c>
      <c r="C32" s="18">
        <f>C30/C31</f>
        <v>217332207.02918917</v>
      </c>
      <c r="D32" s="18">
        <f t="shared" ref="D32:BB32" si="11">D30/D31</f>
        <v>220530406.731291</v>
      </c>
      <c r="E32" s="18">
        <f t="shared" si="11"/>
        <v>223665066.04196033</v>
      </c>
      <c r="F32" s="18">
        <f t="shared" si="11"/>
        <v>225997085.87152949</v>
      </c>
      <c r="G32" s="18">
        <f t="shared" si="11"/>
        <v>228268924.54420653</v>
      </c>
      <c r="H32" s="18">
        <f t="shared" si="11"/>
        <v>229751190.28800008</v>
      </c>
      <c r="I32" s="18">
        <f t="shared" si="11"/>
        <v>228332973.0640001</v>
      </c>
      <c r="J32" s="18">
        <f t="shared" si="11"/>
        <v>226311801.21183246</v>
      </c>
      <c r="K32" s="18">
        <f t="shared" si="11"/>
        <v>221828735.45048279</v>
      </c>
      <c r="L32" s="18">
        <f t="shared" si="11"/>
        <v>215603024.34655914</v>
      </c>
      <c r="M32" s="18">
        <f t="shared" si="11"/>
        <v>208907783.33403713</v>
      </c>
      <c r="N32" s="18">
        <f t="shared" si="11"/>
        <v>204904024.52352002</v>
      </c>
      <c r="O32" s="18">
        <f t="shared" si="11"/>
        <v>203148420.8862316</v>
      </c>
      <c r="P32" s="18">
        <f t="shared" si="11"/>
        <v>195598986.32627028</v>
      </c>
      <c r="Q32" s="18">
        <f t="shared" si="11"/>
        <v>180072738.18921545</v>
      </c>
      <c r="R32" s="18">
        <f t="shared" si="11"/>
        <v>168598085.36375913</v>
      </c>
      <c r="S32" s="18">
        <f t="shared" si="11"/>
        <v>162858565.61096263</v>
      </c>
      <c r="T32" s="18">
        <f t="shared" si="11"/>
        <v>156150623.33262879</v>
      </c>
      <c r="U32" s="18">
        <f t="shared" si="11"/>
        <v>148141152.83206809</v>
      </c>
      <c r="V32" s="18">
        <f t="shared" si="11"/>
        <v>136406698.42017704</v>
      </c>
      <c r="W32" s="18">
        <f t="shared" si="11"/>
        <v>123148658.32474349</v>
      </c>
      <c r="X32" s="18">
        <f t="shared" si="11"/>
        <v>114320930.5457962</v>
      </c>
      <c r="Y32" s="18">
        <f t="shared" si="11"/>
        <v>110218608.57271387</v>
      </c>
      <c r="Z32" s="18">
        <f t="shared" si="11"/>
        <v>109241153.29237853</v>
      </c>
      <c r="AA32" s="18">
        <f t="shared" si="11"/>
        <v>107071626.64653429</v>
      </c>
      <c r="AB32" s="18">
        <f t="shared" si="11"/>
        <v>105660456.77722052</v>
      </c>
      <c r="AC32" s="18">
        <f t="shared" si="11"/>
        <v>105961571.98798303</v>
      </c>
      <c r="AD32" s="18">
        <f t="shared" si="11"/>
        <v>104381262.59275486</v>
      </c>
      <c r="AE32" s="18">
        <f t="shared" si="11"/>
        <v>102299531.45554496</v>
      </c>
      <c r="AF32" s="18">
        <f t="shared" si="11"/>
        <v>101672772.35608532</v>
      </c>
      <c r="AG32" s="18">
        <f t="shared" si="11"/>
        <v>104842018.17332971</v>
      </c>
      <c r="AH32" s="18">
        <f t="shared" si="11"/>
        <v>101653262.49317041</v>
      </c>
      <c r="AI32" s="18">
        <f t="shared" si="11"/>
        <v>110882617.44123606</v>
      </c>
      <c r="AJ32" s="18">
        <f t="shared" si="11"/>
        <v>113904074.5750106</v>
      </c>
      <c r="AK32" s="18">
        <f t="shared" si="11"/>
        <v>111919960.0555779</v>
      </c>
      <c r="AL32" s="18">
        <f t="shared" si="11"/>
        <v>108979669.54561849</v>
      </c>
      <c r="AM32" s="18">
        <f t="shared" si="11"/>
        <v>111638361.49371491</v>
      </c>
      <c r="AN32" s="18">
        <f t="shared" si="11"/>
        <v>109030308.882489</v>
      </c>
      <c r="AO32" s="18">
        <f t="shared" si="11"/>
        <v>110065297.98745458</v>
      </c>
      <c r="AP32" s="18">
        <f t="shared" si="11"/>
        <v>108810306.52730964</v>
      </c>
      <c r="AQ32" s="18">
        <f t="shared" si="11"/>
        <v>113618723.67149909</v>
      </c>
      <c r="AR32" s="18">
        <f t="shared" si="11"/>
        <v>102151188.05142479</v>
      </c>
      <c r="AS32" s="18">
        <f t="shared" si="11"/>
        <v>98126896.208479971</v>
      </c>
      <c r="AT32" s="18">
        <f t="shared" si="11"/>
        <v>115103961.50759327</v>
      </c>
      <c r="AU32" s="18">
        <f t="shared" si="11"/>
        <v>112850783.90662134</v>
      </c>
      <c r="AV32" s="112">
        <f t="shared" si="11"/>
        <v>112643963.98593132</v>
      </c>
      <c r="AW32" s="112">
        <f t="shared" si="11"/>
        <v>114803388.37666665</v>
      </c>
      <c r="AX32" s="18">
        <f t="shared" si="11"/>
        <v>113219645.35698988</v>
      </c>
      <c r="AY32" s="18">
        <f t="shared" si="11"/>
        <v>109036637.59747328</v>
      </c>
      <c r="AZ32" s="18">
        <f t="shared" si="11"/>
        <v>110551764.57085437</v>
      </c>
      <c r="BA32" s="18">
        <f t="shared" si="11"/>
        <v>114388561.89573461</v>
      </c>
      <c r="BB32" s="18">
        <f t="shared" si="11"/>
        <v>113198097.12061687</v>
      </c>
      <c r="BC32" s="113">
        <f>BC30/BC31</f>
        <v>110964594.08852215</v>
      </c>
      <c r="BD32" s="113">
        <f>BC32</f>
        <v>110964594.08852215</v>
      </c>
    </row>
    <row r="33" spans="1:56" s="21" customFormat="1" x14ac:dyDescent="0.25">
      <c r="A33" s="106">
        <v>8</v>
      </c>
      <c r="B33" s="21" t="s">
        <v>355</v>
      </c>
      <c r="AQ33" s="21">
        <v>31.2</v>
      </c>
      <c r="AT33" s="21">
        <v>30.2</v>
      </c>
      <c r="AU33" s="114">
        <v>30.2</v>
      </c>
      <c r="AV33" s="111">
        <v>30.8</v>
      </c>
      <c r="AW33" s="115">
        <v>30.6</v>
      </c>
      <c r="AX33" s="21">
        <v>30.5</v>
      </c>
      <c r="AY33" s="21">
        <v>30.5</v>
      </c>
      <c r="AZ33" s="21">
        <v>30.6</v>
      </c>
      <c r="BA33" s="21">
        <v>31.1</v>
      </c>
      <c r="BB33" s="21">
        <v>31.3</v>
      </c>
      <c r="BC33" s="21">
        <v>31.7</v>
      </c>
      <c r="BD33" s="21">
        <v>34.466103844023799</v>
      </c>
    </row>
    <row r="34" spans="1:56" s="21" customFormat="1" x14ac:dyDescent="0.25">
      <c r="A34" s="106">
        <v>9</v>
      </c>
      <c r="B34" s="21" t="s">
        <v>356</v>
      </c>
      <c r="C34" s="21">
        <f>M34*21.7/22.4</f>
        <v>26.040416880122958</v>
      </c>
      <c r="D34" s="21">
        <f t="shared" ref="D34:L34" si="12">C34+($M34-$C34)/10</f>
        <v>26.124418224897546</v>
      </c>
      <c r="E34" s="21">
        <f t="shared" si="12"/>
        <v>26.208419569672138</v>
      </c>
      <c r="F34" s="21">
        <f t="shared" si="12"/>
        <v>26.29242091444673</v>
      </c>
      <c r="G34" s="21">
        <f t="shared" si="12"/>
        <v>26.376422259221322</v>
      </c>
      <c r="H34" s="21">
        <f t="shared" si="12"/>
        <v>26.460423603995913</v>
      </c>
      <c r="I34" s="21">
        <f t="shared" si="12"/>
        <v>26.544424948770505</v>
      </c>
      <c r="J34" s="21">
        <f t="shared" si="12"/>
        <v>26.628426293545097</v>
      </c>
      <c r="K34" s="21">
        <f t="shared" si="12"/>
        <v>26.712427638319689</v>
      </c>
      <c r="L34" s="21">
        <f t="shared" si="12"/>
        <v>26.79642898309428</v>
      </c>
      <c r="M34" s="21">
        <f>W34*21.7/22.4</f>
        <v>26.880430327868858</v>
      </c>
      <c r="N34" s="21">
        <f t="shared" ref="N34:V34" si="13">M34+($W34-$M34)/10</f>
        <v>26.967141393442628</v>
      </c>
      <c r="O34" s="21">
        <f t="shared" si="13"/>
        <v>27.053852459016397</v>
      </c>
      <c r="P34" s="21">
        <f t="shared" si="13"/>
        <v>27.140563524590167</v>
      </c>
      <c r="Q34" s="21">
        <f t="shared" si="13"/>
        <v>27.227274590163937</v>
      </c>
      <c r="R34" s="21">
        <f t="shared" si="13"/>
        <v>27.313985655737707</v>
      </c>
      <c r="S34" s="21">
        <f t="shared" si="13"/>
        <v>27.400696721311476</v>
      </c>
      <c r="T34" s="21">
        <f t="shared" si="13"/>
        <v>27.487407786885246</v>
      </c>
      <c r="U34" s="21">
        <f t="shared" si="13"/>
        <v>27.574118852459016</v>
      </c>
      <c r="V34" s="21">
        <f t="shared" si="13"/>
        <v>27.660829918032785</v>
      </c>
      <c r="W34" s="21">
        <f>AG34*21.7/22.4</f>
        <v>27.747540983606559</v>
      </c>
      <c r="X34" s="21">
        <f t="shared" ref="X34:AF34" si="14">W34+($AG34-$W34)/10</f>
        <v>27.83704918032787</v>
      </c>
      <c r="Y34" s="21">
        <f t="shared" si="14"/>
        <v>27.926557377049182</v>
      </c>
      <c r="Z34" s="21">
        <f t="shared" si="14"/>
        <v>28.016065573770494</v>
      </c>
      <c r="AA34" s="21">
        <f t="shared" si="14"/>
        <v>28.105573770491805</v>
      </c>
      <c r="AB34" s="21">
        <f t="shared" si="14"/>
        <v>28.195081967213117</v>
      </c>
      <c r="AC34" s="21">
        <f t="shared" si="14"/>
        <v>28.284590163934428</v>
      </c>
      <c r="AD34" s="21">
        <f t="shared" si="14"/>
        <v>28.37409836065574</v>
      </c>
      <c r="AE34" s="21">
        <f t="shared" si="14"/>
        <v>28.463606557377052</v>
      </c>
      <c r="AF34" s="21">
        <f t="shared" si="14"/>
        <v>28.553114754098363</v>
      </c>
      <c r="AG34" s="21">
        <f>AQ33*22.4/24.4</f>
        <v>28.642622950819675</v>
      </c>
      <c r="AH34" s="21">
        <f t="shared" ref="AH34:AP34" si="15">AG34+($AQ33-$AG34)/10</f>
        <v>28.898360655737708</v>
      </c>
      <c r="AI34" s="21">
        <f t="shared" si="15"/>
        <v>29.154098360655741</v>
      </c>
      <c r="AJ34" s="21">
        <f t="shared" si="15"/>
        <v>29.409836065573774</v>
      </c>
      <c r="AK34" s="21">
        <f t="shared" si="15"/>
        <v>29.665573770491807</v>
      </c>
      <c r="AL34" s="21">
        <f t="shared" si="15"/>
        <v>29.921311475409841</v>
      </c>
      <c r="AM34" s="21">
        <f t="shared" si="15"/>
        <v>30.177049180327874</v>
      </c>
      <c r="AN34" s="21">
        <f t="shared" si="15"/>
        <v>30.432786885245907</v>
      </c>
      <c r="AO34" s="21">
        <f t="shared" si="15"/>
        <v>30.68852459016394</v>
      </c>
      <c r="AP34" s="21">
        <f t="shared" si="15"/>
        <v>30.944262295081973</v>
      </c>
      <c r="AR34" s="21">
        <f>AQ33+($AT33-$AQ33)/3</f>
        <v>30.866666666666667</v>
      </c>
      <c r="AS34" s="21">
        <f>AR34+($AT33-$AQ33)/3</f>
        <v>30.533333333333335</v>
      </c>
      <c r="AU34" s="114"/>
      <c r="AV34" s="111"/>
      <c r="AW34" s="115"/>
    </row>
    <row r="35" spans="1:56" s="50" customFormat="1" x14ac:dyDescent="0.25">
      <c r="A35" s="116">
        <v>10</v>
      </c>
      <c r="B35" s="50" t="s">
        <v>357</v>
      </c>
      <c r="C35" s="50">
        <v>1369991.9904336729</v>
      </c>
      <c r="D35" s="50">
        <v>1382689.6569437177</v>
      </c>
      <c r="E35" s="50">
        <v>1436005.0963010192</v>
      </c>
      <c r="F35" s="50">
        <v>1487465.5944077377</v>
      </c>
      <c r="G35" s="50">
        <v>1540915.8673544463</v>
      </c>
      <c r="H35" s="50">
        <v>1598509.6018562252</v>
      </c>
      <c r="I35" s="50">
        <v>1650891.2511773487</v>
      </c>
      <c r="J35" s="50">
        <v>1678592.2681118532</v>
      </c>
      <c r="K35" s="50">
        <v>1707514.6869894436</v>
      </c>
      <c r="L35" s="50">
        <v>1732761.5655783922</v>
      </c>
      <c r="M35" s="50">
        <v>1736186.4194098897</v>
      </c>
      <c r="N35" s="50">
        <v>1761933.756360187</v>
      </c>
      <c r="O35" s="50">
        <v>1790869.8545509288</v>
      </c>
      <c r="P35" s="50">
        <v>1813173.27898617</v>
      </c>
      <c r="Q35" s="50">
        <v>1811095.7355500313</v>
      </c>
      <c r="R35" s="50">
        <v>1772560.5031962059</v>
      </c>
      <c r="S35" s="50">
        <v>1790793.7562500001</v>
      </c>
      <c r="T35" s="50">
        <v>1852689.8212083334</v>
      </c>
      <c r="U35" s="50">
        <v>1935422.023</v>
      </c>
      <c r="V35" s="50">
        <v>1986299.5514999998</v>
      </c>
      <c r="W35" s="50">
        <v>1999974.8970138887</v>
      </c>
      <c r="X35" s="50">
        <v>2007693.0505833332</v>
      </c>
      <c r="Y35" s="50">
        <v>2001663.6153402778</v>
      </c>
      <c r="Z35" s="50">
        <v>2038316.6255486112</v>
      </c>
      <c r="AA35" s="50">
        <v>2121818.6549999998</v>
      </c>
      <c r="AB35" s="50">
        <v>2164029.3287083334</v>
      </c>
      <c r="AC35" s="50">
        <v>2238769.6918611112</v>
      </c>
      <c r="AD35" s="50">
        <v>2303075.1287500001</v>
      </c>
      <c r="AE35" s="50">
        <v>2360318.2125694444</v>
      </c>
      <c r="AF35" s="50">
        <v>2423648.351416667</v>
      </c>
      <c r="AG35" s="50">
        <v>2465523.2888888889</v>
      </c>
      <c r="AH35" s="50">
        <v>2465953.235638889</v>
      </c>
      <c r="AI35" s="50">
        <v>2485007.1246666666</v>
      </c>
      <c r="AJ35" s="50">
        <v>2501590.5307916668</v>
      </c>
      <c r="AK35" s="50">
        <v>2545484.3270833334</v>
      </c>
      <c r="AL35" s="50">
        <v>2572823.5129375001</v>
      </c>
      <c r="AM35" s="50">
        <v>2615527.4442500002</v>
      </c>
      <c r="AN35" s="50">
        <v>2646468.6836875002</v>
      </c>
      <c r="AO35" s="50">
        <v>2660700.2804166665</v>
      </c>
      <c r="AP35" s="50">
        <v>2688204.2903333334</v>
      </c>
      <c r="AQ35" s="50">
        <v>2711608.4699097225</v>
      </c>
      <c r="AR35" s="50">
        <v>2712316.0092500001</v>
      </c>
      <c r="AS35" s="50">
        <v>2733371.6142083332</v>
      </c>
      <c r="AT35" s="50">
        <v>2741353.4860555558</v>
      </c>
      <c r="AU35" s="117">
        <v>2761174.6799999997</v>
      </c>
      <c r="AV35" s="96">
        <v>2811736.2139999997</v>
      </c>
      <c r="AW35" s="118">
        <v>2870547.3939999999</v>
      </c>
      <c r="AX35" s="50">
        <v>2883128.57</v>
      </c>
      <c r="AY35" s="50">
        <v>2865809.804</v>
      </c>
      <c r="AZ35" s="50">
        <v>2777847</v>
      </c>
      <c r="BA35" s="50">
        <v>2757074</v>
      </c>
      <c r="BB35" s="50">
        <v>2857188</v>
      </c>
      <c r="BC35" s="50">
        <v>2909571</v>
      </c>
      <c r="BD35" s="50">
        <f>'[1]6'!BD30-('[1]6'!BD30*'[1]6'!BD21/100)</f>
        <v>2918121.7080000001</v>
      </c>
    </row>
    <row r="36" spans="1:56" s="21" customFormat="1" x14ac:dyDescent="0.25">
      <c r="A36" s="106">
        <v>11</v>
      </c>
      <c r="B36" s="21" t="s">
        <v>358</v>
      </c>
      <c r="C36" s="21">
        <v>74</v>
      </c>
      <c r="D36" s="21">
        <v>74</v>
      </c>
      <c r="E36" s="21">
        <v>74</v>
      </c>
      <c r="F36" s="21">
        <v>74</v>
      </c>
      <c r="G36" s="21">
        <v>74</v>
      </c>
      <c r="H36" s="21">
        <v>74</v>
      </c>
      <c r="I36" s="21">
        <v>74</v>
      </c>
      <c r="J36" s="21">
        <v>74</v>
      </c>
      <c r="K36" s="21">
        <v>74</v>
      </c>
      <c r="L36" s="21">
        <v>74</v>
      </c>
      <c r="M36" s="21">
        <v>74</v>
      </c>
      <c r="N36" s="21">
        <v>74</v>
      </c>
      <c r="O36" s="21">
        <v>74</v>
      </c>
      <c r="P36" s="21">
        <v>74</v>
      </c>
      <c r="Q36" s="21">
        <v>74</v>
      </c>
      <c r="R36" s="21">
        <v>74</v>
      </c>
      <c r="S36" s="21">
        <v>74</v>
      </c>
      <c r="T36" s="21">
        <v>74</v>
      </c>
      <c r="U36" s="21">
        <v>74</v>
      </c>
      <c r="V36" s="21">
        <v>74</v>
      </c>
      <c r="W36" s="21">
        <v>74</v>
      </c>
      <c r="X36" s="21">
        <v>74</v>
      </c>
      <c r="Y36" s="21">
        <v>74</v>
      </c>
      <c r="Z36" s="21">
        <v>74</v>
      </c>
      <c r="AA36" s="21">
        <v>74</v>
      </c>
      <c r="AB36" s="21">
        <v>74</v>
      </c>
      <c r="AC36" s="21">
        <v>74</v>
      </c>
      <c r="AD36" s="21">
        <v>74</v>
      </c>
      <c r="AE36" s="21">
        <v>74</v>
      </c>
      <c r="AF36" s="21">
        <v>74</v>
      </c>
      <c r="AG36" s="21">
        <v>74</v>
      </c>
      <c r="AH36" s="21">
        <v>74</v>
      </c>
      <c r="AI36" s="21">
        <v>74</v>
      </c>
      <c r="AJ36" s="21">
        <v>74</v>
      </c>
      <c r="AK36" s="21">
        <v>74</v>
      </c>
      <c r="AL36" s="21">
        <v>74</v>
      </c>
      <c r="AM36" s="21">
        <v>74</v>
      </c>
      <c r="AN36" s="21">
        <v>74</v>
      </c>
      <c r="AO36" s="21">
        <v>74</v>
      </c>
      <c r="AP36" s="21">
        <v>74</v>
      </c>
      <c r="AQ36" s="21">
        <v>73.7</v>
      </c>
      <c r="AR36" s="21">
        <v>74</v>
      </c>
      <c r="AS36" s="21">
        <v>74</v>
      </c>
      <c r="AT36" s="21">
        <v>75.2</v>
      </c>
      <c r="AU36" s="114">
        <v>75.2</v>
      </c>
      <c r="AV36" s="111">
        <v>73.599999999999994</v>
      </c>
      <c r="AW36" s="119">
        <v>72.842121576402732</v>
      </c>
      <c r="AX36" s="21">
        <v>74</v>
      </c>
      <c r="AY36" s="21">
        <v>74</v>
      </c>
      <c r="AZ36" s="21">
        <v>74</v>
      </c>
      <c r="BA36" s="21">
        <v>74</v>
      </c>
      <c r="BB36" s="21">
        <v>74</v>
      </c>
      <c r="BC36" s="21">
        <v>74</v>
      </c>
      <c r="BD36" s="21">
        <v>74</v>
      </c>
    </row>
    <row r="37" spans="1:56" s="21" customFormat="1" x14ac:dyDescent="0.25">
      <c r="A37" s="106">
        <v>12</v>
      </c>
      <c r="B37" s="21" t="s">
        <v>359</v>
      </c>
      <c r="C37" s="21">
        <v>11</v>
      </c>
      <c r="D37" s="21">
        <v>11</v>
      </c>
      <c r="E37" s="21">
        <v>11</v>
      </c>
      <c r="F37" s="21">
        <v>11</v>
      </c>
      <c r="G37" s="21">
        <v>11</v>
      </c>
      <c r="H37" s="21">
        <v>11</v>
      </c>
      <c r="I37" s="21">
        <v>11</v>
      </c>
      <c r="J37" s="21">
        <v>11</v>
      </c>
      <c r="K37" s="21">
        <v>11</v>
      </c>
      <c r="L37" s="21">
        <v>11</v>
      </c>
      <c r="M37" s="21">
        <v>11</v>
      </c>
      <c r="N37" s="21">
        <v>11</v>
      </c>
      <c r="O37" s="21">
        <v>11</v>
      </c>
      <c r="P37" s="21">
        <v>11</v>
      </c>
      <c r="Q37" s="21">
        <v>11</v>
      </c>
      <c r="R37" s="21">
        <v>11</v>
      </c>
      <c r="S37" s="21">
        <v>11</v>
      </c>
      <c r="T37" s="21">
        <v>11</v>
      </c>
      <c r="U37" s="21">
        <v>11</v>
      </c>
      <c r="V37" s="21">
        <v>11</v>
      </c>
      <c r="W37" s="21">
        <v>11</v>
      </c>
      <c r="X37" s="21">
        <v>11</v>
      </c>
      <c r="Y37" s="21">
        <v>11</v>
      </c>
      <c r="Z37" s="21">
        <v>11</v>
      </c>
      <c r="AA37" s="21">
        <v>11</v>
      </c>
      <c r="AB37" s="21">
        <v>11</v>
      </c>
      <c r="AC37" s="21">
        <v>11</v>
      </c>
      <c r="AD37" s="21">
        <v>11</v>
      </c>
      <c r="AE37" s="21">
        <v>11</v>
      </c>
      <c r="AF37" s="21">
        <v>11</v>
      </c>
      <c r="AG37" s="21">
        <v>11</v>
      </c>
      <c r="AH37" s="21">
        <v>11</v>
      </c>
      <c r="AI37" s="21">
        <v>11</v>
      </c>
      <c r="AJ37" s="21">
        <v>11</v>
      </c>
      <c r="AK37" s="21">
        <v>11</v>
      </c>
      <c r="AL37" s="21">
        <v>11</v>
      </c>
      <c r="AM37" s="21">
        <v>11</v>
      </c>
      <c r="AN37" s="21">
        <v>11</v>
      </c>
      <c r="AO37" s="21">
        <v>11</v>
      </c>
      <c r="AP37" s="21">
        <v>11</v>
      </c>
      <c r="AQ37" s="21">
        <v>12.4</v>
      </c>
      <c r="AR37" s="21">
        <v>11</v>
      </c>
      <c r="AS37" s="21">
        <v>11</v>
      </c>
      <c r="AT37" s="21">
        <v>10.5</v>
      </c>
      <c r="AU37" s="114">
        <v>10.5</v>
      </c>
      <c r="AV37" s="111">
        <v>10.9</v>
      </c>
      <c r="AW37" s="119">
        <v>10.664824966179014</v>
      </c>
      <c r="AX37" s="21">
        <v>11</v>
      </c>
      <c r="AY37" s="21">
        <v>11</v>
      </c>
      <c r="AZ37" s="21">
        <v>11</v>
      </c>
      <c r="BA37" s="21">
        <v>11</v>
      </c>
      <c r="BB37" s="21">
        <v>11</v>
      </c>
      <c r="BC37" s="21">
        <v>11</v>
      </c>
      <c r="BD37" s="21">
        <v>11</v>
      </c>
    </row>
    <row r="38" spans="1:56" s="18" customFormat="1" x14ac:dyDescent="0.25">
      <c r="A38" s="105">
        <v>13</v>
      </c>
      <c r="B38" s="18" t="s">
        <v>333</v>
      </c>
      <c r="C38" s="18">
        <f>C35*0.74+C35*0.11/2</f>
        <v>1089143.6323947699</v>
      </c>
      <c r="D38" s="18">
        <f t="shared" ref="D38:BB38" si="16">D35*0.74+D35*0.11/2</f>
        <v>1099238.2772702556</v>
      </c>
      <c r="E38" s="18">
        <f t="shared" si="16"/>
        <v>1141624.0515593102</v>
      </c>
      <c r="F38" s="18">
        <f t="shared" si="16"/>
        <v>1182535.1475541515</v>
      </c>
      <c r="G38" s="18">
        <f t="shared" si="16"/>
        <v>1225028.1145467847</v>
      </c>
      <c r="H38" s="18">
        <f t="shared" si="16"/>
        <v>1270815.133475699</v>
      </c>
      <c r="I38" s="18">
        <f t="shared" si="16"/>
        <v>1312458.5446859922</v>
      </c>
      <c r="J38" s="18">
        <f t="shared" si="16"/>
        <v>1334480.8531489233</v>
      </c>
      <c r="K38" s="18">
        <f t="shared" si="16"/>
        <v>1357474.1761566077</v>
      </c>
      <c r="L38" s="18">
        <f t="shared" si="16"/>
        <v>1377545.4446348217</v>
      </c>
      <c r="M38" s="18">
        <f t="shared" si="16"/>
        <v>1380268.2034308624</v>
      </c>
      <c r="N38" s="18">
        <f t="shared" si="16"/>
        <v>1400737.3363063487</v>
      </c>
      <c r="O38" s="18">
        <f t="shared" si="16"/>
        <v>1423741.5343679884</v>
      </c>
      <c r="P38" s="18">
        <f t="shared" si="16"/>
        <v>1441472.7567940052</v>
      </c>
      <c r="Q38" s="18">
        <f t="shared" si="16"/>
        <v>1439821.1097622749</v>
      </c>
      <c r="R38" s="18">
        <f t="shared" si="16"/>
        <v>1409185.6000409836</v>
      </c>
      <c r="S38" s="18">
        <f t="shared" si="16"/>
        <v>1423681.0362187501</v>
      </c>
      <c r="T38" s="18">
        <f t="shared" si="16"/>
        <v>1472888.4078606248</v>
      </c>
      <c r="U38" s="18">
        <f t="shared" si="16"/>
        <v>1538660.508285</v>
      </c>
      <c r="V38" s="18">
        <f t="shared" si="16"/>
        <v>1579108.1434424999</v>
      </c>
      <c r="W38" s="18">
        <f t="shared" si="16"/>
        <v>1589980.0431260415</v>
      </c>
      <c r="X38" s="18">
        <f t="shared" si="16"/>
        <v>1596115.97521375</v>
      </c>
      <c r="Y38" s="18">
        <f t="shared" si="16"/>
        <v>1591322.574195521</v>
      </c>
      <c r="Z38" s="18">
        <f t="shared" si="16"/>
        <v>1620461.717311146</v>
      </c>
      <c r="AA38" s="18">
        <f t="shared" si="16"/>
        <v>1686845.8307249998</v>
      </c>
      <c r="AB38" s="18">
        <f t="shared" si="16"/>
        <v>1720403.316323125</v>
      </c>
      <c r="AC38" s="18">
        <f t="shared" si="16"/>
        <v>1779821.9050295835</v>
      </c>
      <c r="AD38" s="18">
        <f t="shared" si="16"/>
        <v>1830944.7273562502</v>
      </c>
      <c r="AE38" s="18">
        <f t="shared" si="16"/>
        <v>1876452.9789927085</v>
      </c>
      <c r="AF38" s="18">
        <f t="shared" si="16"/>
        <v>1926800.4393762504</v>
      </c>
      <c r="AG38" s="18">
        <f t="shared" si="16"/>
        <v>1960091.0146666667</v>
      </c>
      <c r="AH38" s="18">
        <f t="shared" si="16"/>
        <v>1960432.8223329168</v>
      </c>
      <c r="AI38" s="18">
        <f t="shared" si="16"/>
        <v>1975580.66411</v>
      </c>
      <c r="AJ38" s="18">
        <f t="shared" si="16"/>
        <v>1988764.4719793752</v>
      </c>
      <c r="AK38" s="18">
        <f t="shared" si="16"/>
        <v>2023660.0400312501</v>
      </c>
      <c r="AL38" s="18">
        <f t="shared" si="16"/>
        <v>2045394.6927853127</v>
      </c>
      <c r="AM38" s="18">
        <f t="shared" si="16"/>
        <v>2079344.3181787501</v>
      </c>
      <c r="AN38" s="18">
        <f t="shared" si="16"/>
        <v>2103942.6035315627</v>
      </c>
      <c r="AO38" s="18">
        <f t="shared" si="16"/>
        <v>2115256.72293125</v>
      </c>
      <c r="AP38" s="18">
        <f t="shared" si="16"/>
        <v>2137122.4108150001</v>
      </c>
      <c r="AQ38" s="18">
        <f t="shared" si="16"/>
        <v>2155728.7335782293</v>
      </c>
      <c r="AR38" s="18">
        <f t="shared" si="16"/>
        <v>2156291.2273537503</v>
      </c>
      <c r="AS38" s="18">
        <f t="shared" si="16"/>
        <v>2173030.4332956248</v>
      </c>
      <c r="AT38" s="18">
        <f t="shared" si="16"/>
        <v>2179376.0214141668</v>
      </c>
      <c r="AU38" s="18">
        <f t="shared" si="16"/>
        <v>2195133.8705999996</v>
      </c>
      <c r="AV38" s="112">
        <f t="shared" si="16"/>
        <v>2235330.2901299996</v>
      </c>
      <c r="AW38" s="112">
        <f t="shared" si="16"/>
        <v>2282085.1782300002</v>
      </c>
      <c r="AX38" s="18">
        <f t="shared" si="16"/>
        <v>2292087.2131499997</v>
      </c>
      <c r="AY38" s="18">
        <f t="shared" si="16"/>
        <v>2278318.7941800002</v>
      </c>
      <c r="AZ38" s="18">
        <f t="shared" si="16"/>
        <v>2208388.3650000002</v>
      </c>
      <c r="BA38" s="18">
        <f t="shared" si="16"/>
        <v>2191873.83</v>
      </c>
      <c r="BB38" s="18">
        <f t="shared" si="16"/>
        <v>2271464.46</v>
      </c>
      <c r="BC38" s="18">
        <f>BC35*0.74+BC35*0.11/2</f>
        <v>2313108.9449999998</v>
      </c>
      <c r="BD38" s="18">
        <f>BD35*0.74+BD35*0.11/2</f>
        <v>2319906.7578600002</v>
      </c>
    </row>
    <row r="39" spans="1:56" s="18" customFormat="1" x14ac:dyDescent="0.25">
      <c r="A39" s="105">
        <v>14</v>
      </c>
      <c r="B39" s="18" t="s">
        <v>334</v>
      </c>
      <c r="C39" s="18">
        <f>C34*0.62*2</f>
        <v>32.290116931352465</v>
      </c>
      <c r="D39" s="18">
        <f t="shared" ref="D39:AS39" si="17">D34*0.62*2</f>
        <v>32.394278598872958</v>
      </c>
      <c r="E39" s="18">
        <f t="shared" si="17"/>
        <v>32.498440266393452</v>
      </c>
      <c r="F39" s="18">
        <f t="shared" si="17"/>
        <v>32.602601933913945</v>
      </c>
      <c r="G39" s="18">
        <f t="shared" si="17"/>
        <v>32.706763601434439</v>
      </c>
      <c r="H39" s="18">
        <f t="shared" si="17"/>
        <v>32.810925268954932</v>
      </c>
      <c r="I39" s="18">
        <f t="shared" si="17"/>
        <v>32.915086936475426</v>
      </c>
      <c r="J39" s="18">
        <f t="shared" si="17"/>
        <v>33.019248603995919</v>
      </c>
      <c r="K39" s="18">
        <f t="shared" si="17"/>
        <v>33.123410271516413</v>
      </c>
      <c r="L39" s="18">
        <f t="shared" si="17"/>
        <v>33.227571939036906</v>
      </c>
      <c r="M39" s="18">
        <f t="shared" si="17"/>
        <v>33.331733606557385</v>
      </c>
      <c r="N39" s="18">
        <f t="shared" si="17"/>
        <v>33.439255327868857</v>
      </c>
      <c r="O39" s="18">
        <f t="shared" si="17"/>
        <v>33.546777049180335</v>
      </c>
      <c r="P39" s="18">
        <f t="shared" si="17"/>
        <v>33.654298770491806</v>
      </c>
      <c r="Q39" s="18">
        <f t="shared" si="17"/>
        <v>33.761820491803284</v>
      </c>
      <c r="R39" s="18">
        <f t="shared" si="17"/>
        <v>33.869342213114756</v>
      </c>
      <c r="S39" s="18">
        <f t="shared" si="17"/>
        <v>33.976863934426227</v>
      </c>
      <c r="T39" s="18">
        <f t="shared" si="17"/>
        <v>34.084385655737705</v>
      </c>
      <c r="U39" s="18">
        <f t="shared" si="17"/>
        <v>34.191907377049176</v>
      </c>
      <c r="V39" s="18">
        <f t="shared" si="17"/>
        <v>34.299429098360655</v>
      </c>
      <c r="W39" s="18">
        <f t="shared" si="17"/>
        <v>34.406950819672133</v>
      </c>
      <c r="X39" s="18">
        <f t="shared" si="17"/>
        <v>34.517940983606557</v>
      </c>
      <c r="Y39" s="18">
        <f t="shared" si="17"/>
        <v>34.628931147540989</v>
      </c>
      <c r="Z39" s="18">
        <f t="shared" si="17"/>
        <v>34.739921311475413</v>
      </c>
      <c r="AA39" s="18">
        <f t="shared" si="17"/>
        <v>34.850911475409838</v>
      </c>
      <c r="AB39" s="18">
        <f t="shared" si="17"/>
        <v>34.961901639344262</v>
      </c>
      <c r="AC39" s="18">
        <f t="shared" si="17"/>
        <v>35.072891803278694</v>
      </c>
      <c r="AD39" s="18">
        <f t="shared" si="17"/>
        <v>35.183881967213118</v>
      </c>
      <c r="AE39" s="18">
        <f t="shared" si="17"/>
        <v>35.294872131147542</v>
      </c>
      <c r="AF39" s="18">
        <f t="shared" si="17"/>
        <v>35.405862295081967</v>
      </c>
      <c r="AG39" s="18">
        <f t="shared" si="17"/>
        <v>35.516852459016398</v>
      </c>
      <c r="AH39" s="18">
        <f t="shared" si="17"/>
        <v>35.833967213114761</v>
      </c>
      <c r="AI39" s="18">
        <f t="shared" si="17"/>
        <v>36.151081967213116</v>
      </c>
      <c r="AJ39" s="18">
        <f t="shared" si="17"/>
        <v>36.468196721311479</v>
      </c>
      <c r="AK39" s="18">
        <f t="shared" si="17"/>
        <v>36.785311475409841</v>
      </c>
      <c r="AL39" s="18">
        <f t="shared" si="17"/>
        <v>37.102426229508204</v>
      </c>
      <c r="AM39" s="18">
        <f t="shared" si="17"/>
        <v>37.419540983606566</v>
      </c>
      <c r="AN39" s="18">
        <f t="shared" si="17"/>
        <v>37.736655737704922</v>
      </c>
      <c r="AO39" s="18">
        <f t="shared" si="17"/>
        <v>38.053770491803284</v>
      </c>
      <c r="AP39" s="18">
        <f t="shared" si="17"/>
        <v>38.370885245901647</v>
      </c>
      <c r="AQ39" s="18">
        <f>AQ33*0.62*2</f>
        <v>38.688000000000002</v>
      </c>
      <c r="AR39" s="18">
        <f t="shared" si="17"/>
        <v>38.274666666666668</v>
      </c>
      <c r="AS39" s="18">
        <f t="shared" si="17"/>
        <v>37.861333333333334</v>
      </c>
      <c r="AT39" s="18">
        <f t="shared" ref="AT39:BB39" si="18">AT33*0.62*2</f>
        <v>37.448</v>
      </c>
      <c r="AU39" s="18">
        <f t="shared" si="18"/>
        <v>37.448</v>
      </c>
      <c r="AV39" s="112">
        <f t="shared" si="18"/>
        <v>38.192</v>
      </c>
      <c r="AW39" s="112">
        <f t="shared" si="18"/>
        <v>37.944000000000003</v>
      </c>
      <c r="AX39" s="18">
        <f t="shared" si="18"/>
        <v>37.82</v>
      </c>
      <c r="AY39" s="18">
        <f t="shared" si="18"/>
        <v>37.82</v>
      </c>
      <c r="AZ39" s="18">
        <f t="shared" si="18"/>
        <v>37.944000000000003</v>
      </c>
      <c r="BA39" s="18">
        <f t="shared" si="18"/>
        <v>38.564</v>
      </c>
      <c r="BB39" s="18">
        <f t="shared" si="18"/>
        <v>38.811999999999998</v>
      </c>
      <c r="BC39" s="18">
        <f>BC33*0.62*2</f>
        <v>39.308</v>
      </c>
      <c r="BD39" s="18">
        <f>BD33*0.62*2</f>
        <v>42.73796876658951</v>
      </c>
    </row>
    <row r="40" spans="1:56" s="18" customFormat="1" x14ac:dyDescent="0.25">
      <c r="A40" s="105">
        <v>15</v>
      </c>
      <c r="B40" s="18" t="s">
        <v>335</v>
      </c>
      <c r="C40" s="18">
        <f>C38*C39*0.44</f>
        <v>15474173.107828638</v>
      </c>
      <c r="D40" s="18">
        <f t="shared" ref="D40:BB40" si="19">D38*D39*0.44</f>
        <v>15667973.640192641</v>
      </c>
      <c r="E40" s="18">
        <f t="shared" si="19"/>
        <v>16324440.46036246</v>
      </c>
      <c r="F40" s="18">
        <f t="shared" si="19"/>
        <v>16963637.982970886</v>
      </c>
      <c r="G40" s="18">
        <f t="shared" si="19"/>
        <v>17629350.176940762</v>
      </c>
      <c r="H40" s="18">
        <f t="shared" si="19"/>
        <v>18346512.965056386</v>
      </c>
      <c r="I40" s="18">
        <f t="shared" si="19"/>
        <v>19007862.32349816</v>
      </c>
      <c r="J40" s="18">
        <f t="shared" si="19"/>
        <v>19387964.220854621</v>
      </c>
      <c r="K40" s="18">
        <f t="shared" si="19"/>
        <v>19784236.590722587</v>
      </c>
      <c r="L40" s="18">
        <f t="shared" si="19"/>
        <v>20139895.758794293</v>
      </c>
      <c r="M40" s="18">
        <f t="shared" si="19"/>
        <v>20242962.107437987</v>
      </c>
      <c r="N40" s="18">
        <f t="shared" si="19"/>
        <v>20609429.911851838</v>
      </c>
      <c r="O40" s="18">
        <f t="shared" si="19"/>
        <v>21015253.524804365</v>
      </c>
      <c r="P40" s="18">
        <f t="shared" si="19"/>
        <v>21345172.123734768</v>
      </c>
      <c r="Q40" s="18">
        <f t="shared" si="19"/>
        <v>21388832.013165284</v>
      </c>
      <c r="R40" s="18">
        <f t="shared" si="19"/>
        <v>21000403.305015877</v>
      </c>
      <c r="S40" s="18">
        <f t="shared" si="19"/>
        <v>21283775.41559606</v>
      </c>
      <c r="T40" s="18">
        <f t="shared" si="19"/>
        <v>22089098.469410293</v>
      </c>
      <c r="U40" s="18">
        <f t="shared" si="19"/>
        <v>23148284.536961816</v>
      </c>
      <c r="V40" s="18">
        <f t="shared" si="19"/>
        <v>23831503.434045978</v>
      </c>
      <c r="W40" s="18">
        <f t="shared" si="19"/>
        <v>24070800.66516307</v>
      </c>
      <c r="X40" s="18">
        <f t="shared" si="19"/>
        <v>24241640.295584735</v>
      </c>
      <c r="Y40" s="18">
        <f t="shared" si="19"/>
        <v>24246551.93635153</v>
      </c>
      <c r="Z40" s="18">
        <f t="shared" si="19"/>
        <v>24769673.520964913</v>
      </c>
      <c r="AA40" s="18">
        <f t="shared" si="19"/>
        <v>25866770.4764749</v>
      </c>
      <c r="AB40" s="18">
        <f t="shared" si="19"/>
        <v>26465371.471127938</v>
      </c>
      <c r="AC40" s="18">
        <f t="shared" si="19"/>
        <v>27466340.485851496</v>
      </c>
      <c r="AD40" s="18">
        <f t="shared" si="19"/>
        <v>28344686.997349143</v>
      </c>
      <c r="AE40" s="18">
        <f t="shared" si="19"/>
        <v>29140833.899609752</v>
      </c>
      <c r="AF40" s="18">
        <f t="shared" si="19"/>
        <v>30016813.651729938</v>
      </c>
      <c r="AG40" s="18">
        <f t="shared" si="19"/>
        <v>30631155.884630293</v>
      </c>
      <c r="AH40" s="18">
        <f t="shared" si="19"/>
        <v>30910037.610756382</v>
      </c>
      <c r="AI40" s="18">
        <f t="shared" si="19"/>
        <v>31424526.549276054</v>
      </c>
      <c r="AJ40" s="18">
        <f t="shared" si="19"/>
        <v>31911727.758459561</v>
      </c>
      <c r="AK40" s="18">
        <f t="shared" si="19"/>
        <v>32754024.552871551</v>
      </c>
      <c r="AL40" s="18">
        <f t="shared" si="19"/>
        <v>33391206.507689647</v>
      </c>
      <c r="AM40" s="18">
        <f t="shared" si="19"/>
        <v>34235568.370572448</v>
      </c>
      <c r="AN40" s="18">
        <f t="shared" si="19"/>
        <v>34934133.397398919</v>
      </c>
      <c r="AO40" s="18">
        <f t="shared" si="19"/>
        <v>35417137.30089467</v>
      </c>
      <c r="AP40" s="18">
        <f t="shared" si="19"/>
        <v>36081442.664003901</v>
      </c>
      <c r="AQ40" s="18">
        <f t="shared" si="19"/>
        <v>36696366.627656803</v>
      </c>
      <c r="AR40" s="18">
        <f t="shared" si="19"/>
        <v>36313784.303817831</v>
      </c>
      <c r="AS40" s="18">
        <f t="shared" si="19"/>
        <v>36200485.014532708</v>
      </c>
      <c r="AT40" s="18">
        <f t="shared" si="19"/>
        <v>35909840.229963794</v>
      </c>
      <c r="AU40" s="18">
        <f t="shared" si="19"/>
        <v>36169484.201940663</v>
      </c>
      <c r="AV40" s="18">
        <f t="shared" si="19"/>
        <v>37563563.153883778</v>
      </c>
      <c r="AW40" s="18">
        <f t="shared" si="19"/>
        <v>38100233.601214014</v>
      </c>
      <c r="AX40" s="18">
        <f t="shared" si="19"/>
        <v>38142164.896586515</v>
      </c>
      <c r="AY40" s="18">
        <f t="shared" si="19"/>
        <v>37913047.390190549</v>
      </c>
      <c r="AZ40" s="18">
        <f t="shared" si="19"/>
        <v>36869838.773486406</v>
      </c>
      <c r="BA40" s="18">
        <f t="shared" si="19"/>
        <v>37192065.847252801</v>
      </c>
      <c r="BB40" s="18">
        <f t="shared" si="19"/>
        <v>38790434.5934688</v>
      </c>
      <c r="BC40" s="18">
        <f>BC38*BC39*0.44</f>
        <v>40006422.020426393</v>
      </c>
      <c r="BD40" s="18">
        <f>BD38*BD39*0.44</f>
        <v>43625165.125881076</v>
      </c>
    </row>
    <row r="41" spans="1:56" s="18" customFormat="1" x14ac:dyDescent="0.25">
      <c r="A41" s="105">
        <v>16</v>
      </c>
      <c r="B41" s="18" t="s">
        <v>336</v>
      </c>
      <c r="C41" s="18">
        <f>C35*C34*2/60*250</f>
        <v>297293021.27768552</v>
      </c>
      <c r="D41" s="18">
        <f t="shared" ref="D41:AS41" si="20">D35*D34*2/60*250</f>
        <v>301016357.27698165</v>
      </c>
      <c r="E41" s="18">
        <f t="shared" si="20"/>
        <v>313628533.90037137</v>
      </c>
      <c r="F41" s="18">
        <f t="shared" si="20"/>
        <v>325908929.19938284</v>
      </c>
      <c r="G41" s="18">
        <f t="shared" si="20"/>
        <v>338698729.86062622</v>
      </c>
      <c r="H41" s="18">
        <f t="shared" si="20"/>
        <v>352477010.00142139</v>
      </c>
      <c r="I41" s="18">
        <f t="shared" si="20"/>
        <v>365182990.96215808</v>
      </c>
      <c r="J41" s="18">
        <f t="shared" si="20"/>
        <v>372485587.40275973</v>
      </c>
      <c r="K41" s="18">
        <f t="shared" si="20"/>
        <v>380098854.31311339</v>
      </c>
      <c r="L41" s="18">
        <f t="shared" si="20"/>
        <v>386931851.97213876</v>
      </c>
      <c r="M41" s="18">
        <f t="shared" si="20"/>
        <v>388911984.0261637</v>
      </c>
      <c r="N41" s="18">
        <f t="shared" si="20"/>
        <v>395952639.44703883</v>
      </c>
      <c r="O41" s="18">
        <f t="shared" si="20"/>
        <v>403749406.81934154</v>
      </c>
      <c r="P41" s="18">
        <f t="shared" si="20"/>
        <v>410087871.32844669</v>
      </c>
      <c r="Q41" s="18">
        <f t="shared" si="20"/>
        <v>410926674.17413026</v>
      </c>
      <c r="R41" s="18">
        <f t="shared" si="20"/>
        <v>403464101.31856984</v>
      </c>
      <c r="S41" s="18">
        <f t="shared" si="20"/>
        <v>408908305.04520363</v>
      </c>
      <c r="T41" s="18">
        <f t="shared" si="20"/>
        <v>424380338.48470819</v>
      </c>
      <c r="U41" s="18">
        <f t="shared" si="20"/>
        <v>444729640.76557219</v>
      </c>
      <c r="V41" s="18">
        <f t="shared" si="20"/>
        <v>457855783.83588582</v>
      </c>
      <c r="W41" s="18">
        <f t="shared" si="20"/>
        <v>462453211.84230983</v>
      </c>
      <c r="X41" s="18">
        <f t="shared" si="20"/>
        <v>465735418.23408949</v>
      </c>
      <c r="Y41" s="18">
        <f t="shared" si="20"/>
        <v>465829781.69459975</v>
      </c>
      <c r="Z41" s="18">
        <f t="shared" si="20"/>
        <v>475880102.01230401</v>
      </c>
      <c r="AA41" s="18">
        <f t="shared" si="20"/>
        <v>496957756.13090158</v>
      </c>
      <c r="AB41" s="18">
        <f t="shared" si="20"/>
        <v>508458202.51987201</v>
      </c>
      <c r="AC41" s="18">
        <f t="shared" si="20"/>
        <v>527689026.71441084</v>
      </c>
      <c r="AD41" s="18">
        <f t="shared" si="20"/>
        <v>544564001.95943654</v>
      </c>
      <c r="AE41" s="18">
        <f t="shared" si="20"/>
        <v>559859741.27323425</v>
      </c>
      <c r="AF41" s="18">
        <f t="shared" si="20"/>
        <v>576689245.84651184</v>
      </c>
      <c r="AG41" s="18">
        <f t="shared" si="20"/>
        <v>588492116.16757751</v>
      </c>
      <c r="AH41" s="18">
        <f t="shared" si="20"/>
        <v>593850049.69729972</v>
      </c>
      <c r="AI41" s="18">
        <f t="shared" si="20"/>
        <v>603734517.82885253</v>
      </c>
      <c r="AJ41" s="18">
        <f t="shared" si="20"/>
        <v>613094728.44812167</v>
      </c>
      <c r="AK41" s="18">
        <f t="shared" si="20"/>
        <v>629277109.05601108</v>
      </c>
      <c r="AL41" s="18">
        <f t="shared" si="20"/>
        <v>641518780.84884238</v>
      </c>
      <c r="AM41" s="18">
        <f t="shared" si="20"/>
        <v>657740835.98024607</v>
      </c>
      <c r="AN41" s="18">
        <f t="shared" si="20"/>
        <v>671161812.07615805</v>
      </c>
      <c r="AO41" s="18">
        <f t="shared" si="20"/>
        <v>680441383.18852472</v>
      </c>
      <c r="AP41" s="18">
        <f t="shared" si="20"/>
        <v>693204155.52366138</v>
      </c>
      <c r="AQ41" s="18">
        <f>AQ35*AQ33*2/60*250</f>
        <v>705018202.17652786</v>
      </c>
      <c r="AR41" s="18">
        <f t="shared" si="20"/>
        <v>697667951.26819444</v>
      </c>
      <c r="AS41" s="18">
        <f t="shared" si="20"/>
        <v>695491221.8374536</v>
      </c>
      <c r="AT41" s="18">
        <f t="shared" ref="AT41:BB41" si="21">AT35*AT33*2/60*250</f>
        <v>689907293.99064815</v>
      </c>
      <c r="AU41" s="18">
        <f t="shared" si="21"/>
        <v>694895627.80000007</v>
      </c>
      <c r="AV41" s="18">
        <f t="shared" si="21"/>
        <v>721678961.59333324</v>
      </c>
      <c r="AW41" s="18">
        <f t="shared" si="21"/>
        <v>731989585.47000003</v>
      </c>
      <c r="AX41" s="18">
        <f t="shared" si="21"/>
        <v>732795178.20833325</v>
      </c>
      <c r="AY41" s="18">
        <f t="shared" si="21"/>
        <v>728393325.1833334</v>
      </c>
      <c r="AZ41" s="18">
        <f t="shared" si="21"/>
        <v>708350985</v>
      </c>
      <c r="BA41" s="18">
        <f t="shared" si="21"/>
        <v>714541678.33333337</v>
      </c>
      <c r="BB41" s="18">
        <f t="shared" si="21"/>
        <v>745249870</v>
      </c>
      <c r="BC41" s="18">
        <f>BC35*BC33*2/60*250</f>
        <v>768611672.5</v>
      </c>
      <c r="BD41" s="18">
        <f>BD35*BD33*2/60*250</f>
        <v>838135715.14523411</v>
      </c>
    </row>
    <row r="42" spans="1:56" s="28" customFormat="1" x14ac:dyDescent="0.25">
      <c r="A42" s="108">
        <v>17</v>
      </c>
      <c r="B42" s="28" t="s">
        <v>360</v>
      </c>
      <c r="C42" s="28">
        <v>6.5699356808731801</v>
      </c>
      <c r="D42" s="28">
        <v>6.7753633907898108</v>
      </c>
      <c r="E42" s="28">
        <v>7.0589499490575642</v>
      </c>
      <c r="F42" s="28">
        <v>7.1885275263951733</v>
      </c>
      <c r="G42" s="28">
        <v>7.5123852357320091</v>
      </c>
      <c r="H42" s="28">
        <v>7.8320512820512809</v>
      </c>
      <c r="I42" s="28">
        <v>8.1894141737891726</v>
      </c>
      <c r="J42" s="28">
        <v>8.5192797098111459</v>
      </c>
      <c r="K42" s="28">
        <v>8.9211704244031829</v>
      </c>
      <c r="L42" s="28">
        <v>9.4654055753510775</v>
      </c>
      <c r="M42" s="28">
        <v>9.7255105075337038</v>
      </c>
      <c r="N42" s="28">
        <v>9.9816310541310536</v>
      </c>
      <c r="O42" s="28">
        <v>10.46145104895105</v>
      </c>
      <c r="P42" s="28">
        <v>10.827761174636176</v>
      </c>
      <c r="Q42" s="28">
        <v>10.697008113590265</v>
      </c>
      <c r="R42" s="28">
        <v>10.607079282241921</v>
      </c>
      <c r="S42" s="28">
        <v>10.966197444910097</v>
      </c>
      <c r="T42" s="28">
        <v>11.173710015232292</v>
      </c>
      <c r="U42" s="28">
        <v>11.464678209060876</v>
      </c>
      <c r="V42" s="28">
        <v>11.377141608391609</v>
      </c>
      <c r="W42" s="28">
        <v>11.239739311053023</v>
      </c>
      <c r="X42" s="28">
        <v>11.28254633155623</v>
      </c>
      <c r="Y42" s="28">
        <v>11.484003587086487</v>
      </c>
      <c r="Z42" s="28">
        <v>11.917049930491194</v>
      </c>
      <c r="AA42" s="28">
        <v>12.591973606278223</v>
      </c>
      <c r="AB42" s="28">
        <v>13.133050650557623</v>
      </c>
      <c r="AC42" s="28">
        <v>13.648010247052218</v>
      </c>
      <c r="AD42" s="28">
        <v>13.998246208017335</v>
      </c>
      <c r="AE42" s="28">
        <v>14.403652708238509</v>
      </c>
      <c r="AF42" s="28">
        <v>14.621510545905705</v>
      </c>
      <c r="AG42" s="28">
        <v>14.474995585898418</v>
      </c>
      <c r="AH42" s="28">
        <v>14.165215181294478</v>
      </c>
      <c r="AI42" s="28">
        <v>14.243981989144139</v>
      </c>
      <c r="AJ42" s="28">
        <v>14.162842693638538</v>
      </c>
      <c r="AK42" s="28">
        <v>14.293578713796325</v>
      </c>
      <c r="AL42" s="28">
        <v>14.337505678376742</v>
      </c>
      <c r="AM42" s="28">
        <v>14.453947271657595</v>
      </c>
      <c r="AN42" s="28">
        <v>14.786380301941046</v>
      </c>
      <c r="AO42" s="28">
        <v>15.398145941481829</v>
      </c>
      <c r="AP42" s="28">
        <v>15.800371687136392</v>
      </c>
      <c r="AQ42" s="28">
        <v>16.473076923076924</v>
      </c>
      <c r="AR42" s="28">
        <v>16.666612192155668</v>
      </c>
      <c r="AS42" s="28">
        <v>16.821382071236155</v>
      </c>
      <c r="AT42" s="28">
        <v>16.846102111204011</v>
      </c>
      <c r="AU42" s="28">
        <v>17.417132080465851</v>
      </c>
      <c r="AV42" s="28">
        <v>17.711135235732005</v>
      </c>
      <c r="AW42" s="28">
        <v>18.023327323717947</v>
      </c>
      <c r="AX42" s="28">
        <v>18.558912668373591</v>
      </c>
      <c r="AY42" s="28">
        <v>18.492242934724356</v>
      </c>
      <c r="AZ42" s="28">
        <v>19.519571339939915</v>
      </c>
      <c r="BA42" s="28">
        <v>19.64</v>
      </c>
      <c r="BB42" s="28">
        <v>19.510000000000002</v>
      </c>
      <c r="BC42" s="28">
        <v>19.489999999999998</v>
      </c>
      <c r="BD42" s="28">
        <v>19.162275946720278</v>
      </c>
    </row>
    <row r="43" spans="1:56" s="18" customFormat="1" x14ac:dyDescent="0.25">
      <c r="A43" s="105">
        <v>18</v>
      </c>
      <c r="B43" s="18" t="s">
        <v>337</v>
      </c>
      <c r="C43" s="18">
        <f>C41*C42*0.65</f>
        <v>1269577418.3084562</v>
      </c>
      <c r="D43" s="18">
        <f t="shared" ref="D43:BB43" si="22">D41*D42*0.65</f>
        <v>1325671884.6301889</v>
      </c>
      <c r="E43" s="18">
        <f t="shared" si="22"/>
        <v>1439027280.2093663</v>
      </c>
      <c r="F43" s="18">
        <f t="shared" si="22"/>
        <v>1522823450.6210306</v>
      </c>
      <c r="G43" s="18">
        <f t="shared" si="22"/>
        <v>1653882969.4179993</v>
      </c>
      <c r="H43" s="18">
        <f t="shared" si="22"/>
        <v>1794401711.7489023</v>
      </c>
      <c r="I43" s="18">
        <f t="shared" si="22"/>
        <v>1943912595.4379435</v>
      </c>
      <c r="J43" s="18">
        <f t="shared" si="22"/>
        <v>2062650789.5223212</v>
      </c>
      <c r="K43" s="18">
        <f t="shared" si="22"/>
        <v>2204102327.3409929</v>
      </c>
      <c r="L43" s="18">
        <f t="shared" si="22"/>
        <v>2380603490.8097</v>
      </c>
      <c r="M43" s="18">
        <f t="shared" si="22"/>
        <v>2458538931.648953</v>
      </c>
      <c r="N43" s="18">
        <f t="shared" si="22"/>
        <v>2568964555.2153172</v>
      </c>
      <c r="O43" s="18">
        <f t="shared" si="22"/>
        <v>2745473026.0643172</v>
      </c>
      <c r="P43" s="18">
        <f t="shared" si="22"/>
        <v>2886216795.3835783</v>
      </c>
      <c r="Q43" s="18">
        <f t="shared" si="22"/>
        <v>2857195879.0253677</v>
      </c>
      <c r="R43" s="18">
        <f t="shared" si="22"/>
        <v>2781724211.6459622</v>
      </c>
      <c r="S43" s="18">
        <f t="shared" si="22"/>
        <v>2914709986.4930005</v>
      </c>
      <c r="T43" s="18">
        <f t="shared" si="22"/>
        <v>3082236844.956265</v>
      </c>
      <c r="U43" s="18">
        <f t="shared" si="22"/>
        <v>3314143443.9155431</v>
      </c>
      <c r="V43" s="18">
        <f t="shared" si="22"/>
        <v>3385908557.7993073</v>
      </c>
      <c r="W43" s="18">
        <f t="shared" si="22"/>
        <v>3378604804.0333819</v>
      </c>
      <c r="X43" s="18">
        <f t="shared" si="22"/>
        <v>3415542932.4073415</v>
      </c>
      <c r="Y43" s="18">
        <f t="shared" si="22"/>
        <v>3477234074.5691242</v>
      </c>
      <c r="Z43" s="18">
        <f t="shared" si="22"/>
        <v>3686206508.7951155</v>
      </c>
      <c r="AA43" s="18">
        <f t="shared" si="22"/>
        <v>4067491316.6131158</v>
      </c>
      <c r="AB43" s="18">
        <f t="shared" si="22"/>
        <v>4340444762.8002272</v>
      </c>
      <c r="AC43" s="18">
        <f t="shared" si="22"/>
        <v>4681238408.5059385</v>
      </c>
      <c r="AD43" s="18">
        <f t="shared" si="22"/>
        <v>4954911634.0434284</v>
      </c>
      <c r="AE43" s="18">
        <f t="shared" si="22"/>
        <v>5241616431.1055555</v>
      </c>
      <c r="AF43" s="18">
        <f t="shared" si="22"/>
        <v>5480844128.4058676</v>
      </c>
      <c r="AG43" s="18">
        <f t="shared" si="22"/>
        <v>5536973509.510107</v>
      </c>
      <c r="AH43" s="18">
        <f t="shared" si="22"/>
        <v>5467808930.6000357</v>
      </c>
      <c r="AI43" s="18">
        <f t="shared" si="22"/>
        <v>5589729338.8162184</v>
      </c>
      <c r="AJ43" s="18">
        <f t="shared" si="22"/>
        <v>5644056726.9513597</v>
      </c>
      <c r="AK43" s="18">
        <f t="shared" si="22"/>
        <v>5846504229.2034883</v>
      </c>
      <c r="AL43" s="18">
        <f t="shared" si="22"/>
        <v>5978556456.083642</v>
      </c>
      <c r="AM43" s="18">
        <f t="shared" si="22"/>
        <v>6179518385.0884018</v>
      </c>
      <c r="AN43" s="18">
        <f t="shared" si="22"/>
        <v>6450634968.3736753</v>
      </c>
      <c r="AO43" s="18">
        <f t="shared" si="22"/>
        <v>6810398219.9244328</v>
      </c>
      <c r="AP43" s="18">
        <f t="shared" si="22"/>
        <v>7119374153.0218792</v>
      </c>
      <c r="AQ43" s="18">
        <f t="shared" si="22"/>
        <v>7548982399.8051729</v>
      </c>
      <c r="AR43" s="18">
        <f t="shared" si="22"/>
        <v>7558044768.7437916</v>
      </c>
      <c r="AS43" s="18">
        <f t="shared" si="22"/>
        <v>7604430320.3171358</v>
      </c>
      <c r="AT43" s="18">
        <f t="shared" si="22"/>
        <v>7554461669.1900883</v>
      </c>
      <c r="AU43" s="18">
        <f t="shared" si="22"/>
        <v>7867007805.4950466</v>
      </c>
      <c r="AV43" s="18">
        <f t="shared" si="22"/>
        <v>8308139895.6154099</v>
      </c>
      <c r="AW43" s="18">
        <f t="shared" si="22"/>
        <v>8575377132.7109756</v>
      </c>
      <c r="AX43" s="18">
        <f t="shared" si="22"/>
        <v>8839923115.5129185</v>
      </c>
      <c r="AY43" s="18">
        <f t="shared" si="22"/>
        <v>8755257108.8592205</v>
      </c>
      <c r="AZ43" s="18">
        <f t="shared" si="22"/>
        <v>8987359930.5257359</v>
      </c>
      <c r="BA43" s="18">
        <f t="shared" si="22"/>
        <v>9121839065.6033344</v>
      </c>
      <c r="BB43" s="18">
        <f t="shared" si="22"/>
        <v>9450886226.4050007</v>
      </c>
      <c r="BC43" s="18">
        <f>BC41*BC42*0.65</f>
        <v>9737156973.0662498</v>
      </c>
      <c r="BD43" s="18">
        <f>BD41*BD42*0.65</f>
        <v>10439382105.369568</v>
      </c>
    </row>
    <row r="44" spans="1:56" s="38" customFormat="1" x14ac:dyDescent="0.25">
      <c r="A44" s="104"/>
    </row>
    <row r="45" spans="1:56" x14ac:dyDescent="0.25">
      <c r="A45" s="79"/>
      <c r="AX45" s="38"/>
      <c r="AY45" s="38"/>
      <c r="AZ45" s="38"/>
      <c r="BA45" s="38"/>
    </row>
    <row r="46" spans="1:56" ht="14" x14ac:dyDescent="0.3">
      <c r="A46" s="125" t="s">
        <v>31</v>
      </c>
      <c r="B46" s="125"/>
      <c r="AQ46" s="86"/>
      <c r="AY46" s="120"/>
      <c r="AZ46" s="121"/>
    </row>
    <row r="47" spans="1:56" ht="14" x14ac:dyDescent="0.3">
      <c r="A47" s="79">
        <v>1</v>
      </c>
      <c r="B47" s="14" t="s">
        <v>361</v>
      </c>
      <c r="AY47" s="120"/>
      <c r="AZ47" s="121"/>
    </row>
    <row r="48" spans="1:56" x14ac:dyDescent="0.25">
      <c r="A48" s="79">
        <v>2</v>
      </c>
      <c r="B48" s="14" t="s">
        <v>362</v>
      </c>
      <c r="AY48" s="121"/>
      <c r="AZ48" s="121"/>
    </row>
    <row r="49" spans="1:52" x14ac:dyDescent="0.25">
      <c r="A49" s="79">
        <v>3</v>
      </c>
      <c r="B49" s="14" t="s">
        <v>363</v>
      </c>
      <c r="AY49" s="121"/>
      <c r="AZ49" s="121"/>
    </row>
    <row r="50" spans="1:52" x14ac:dyDescent="0.25">
      <c r="A50" s="79">
        <v>4</v>
      </c>
      <c r="B50" s="14" t="s">
        <v>364</v>
      </c>
    </row>
    <row r="51" spans="1:52" x14ac:dyDescent="0.25">
      <c r="A51" s="79">
        <v>5</v>
      </c>
      <c r="B51" s="14" t="s">
        <v>365</v>
      </c>
    </row>
    <row r="52" spans="1:52" x14ac:dyDescent="0.25">
      <c r="A52" s="79">
        <v>6</v>
      </c>
      <c r="B52" s="14" t="s">
        <v>366</v>
      </c>
    </row>
    <row r="53" spans="1:52" x14ac:dyDescent="0.25">
      <c r="A53" s="79">
        <v>7</v>
      </c>
      <c r="B53" s="14" t="s">
        <v>107</v>
      </c>
    </row>
    <row r="54" spans="1:52" ht="14" x14ac:dyDescent="0.3">
      <c r="A54" s="79">
        <v>8</v>
      </c>
      <c r="B54" s="14" t="s">
        <v>367</v>
      </c>
      <c r="C54" s="14" t="s">
        <v>368</v>
      </c>
      <c r="AV54" s="31" t="s">
        <v>294</v>
      </c>
    </row>
    <row r="55" spans="1:52" x14ac:dyDescent="0.25">
      <c r="A55" s="79">
        <v>9</v>
      </c>
      <c r="B55" s="14" t="s">
        <v>107</v>
      </c>
    </row>
    <row r="56" spans="1:52" x14ac:dyDescent="0.25">
      <c r="A56" s="79">
        <v>10</v>
      </c>
      <c r="B56" s="14" t="s">
        <v>369</v>
      </c>
    </row>
    <row r="57" spans="1:52" x14ac:dyDescent="0.25">
      <c r="A57" s="79" t="s">
        <v>370</v>
      </c>
      <c r="B57" s="14" t="s">
        <v>371</v>
      </c>
    </row>
    <row r="58" spans="1:52" x14ac:dyDescent="0.25">
      <c r="A58" s="79">
        <v>13</v>
      </c>
      <c r="B58" s="14" t="s">
        <v>372</v>
      </c>
    </row>
    <row r="59" spans="1:52" x14ac:dyDescent="0.25">
      <c r="A59" s="79">
        <v>14</v>
      </c>
      <c r="B59" s="14" t="s">
        <v>373</v>
      </c>
    </row>
    <row r="60" spans="1:52" x14ac:dyDescent="0.25">
      <c r="A60" s="79">
        <v>15</v>
      </c>
      <c r="B60" s="14" t="s">
        <v>374</v>
      </c>
    </row>
    <row r="61" spans="1:52" x14ac:dyDescent="0.25">
      <c r="A61" s="79">
        <v>16</v>
      </c>
      <c r="B61" s="14" t="s">
        <v>375</v>
      </c>
    </row>
    <row r="62" spans="1:52" x14ac:dyDescent="0.25">
      <c r="A62" s="79">
        <v>17</v>
      </c>
      <c r="B62" s="14" t="s">
        <v>277</v>
      </c>
    </row>
    <row r="63" spans="1:52" x14ac:dyDescent="0.25">
      <c r="A63" s="79">
        <v>18</v>
      </c>
      <c r="B63" s="14" t="s">
        <v>376</v>
      </c>
    </row>
    <row r="64" spans="1:52" x14ac:dyDescent="0.25">
      <c r="A64" s="79"/>
    </row>
    <row r="66" spans="1:11" ht="14" x14ac:dyDescent="0.3">
      <c r="A66" s="125" t="s">
        <v>157</v>
      </c>
      <c r="B66" s="145"/>
    </row>
    <row r="67" spans="1:11" ht="37.5" customHeight="1" x14ac:dyDescent="0.25">
      <c r="A67" s="146" t="s">
        <v>377</v>
      </c>
      <c r="B67" s="147"/>
      <c r="C67" s="147"/>
      <c r="D67" s="147"/>
      <c r="E67" s="147"/>
      <c r="F67" s="147"/>
      <c r="G67" s="75"/>
      <c r="H67" s="75"/>
      <c r="I67" s="75"/>
      <c r="J67" s="75"/>
      <c r="K67" s="75"/>
    </row>
    <row r="70" spans="1:11" ht="14" x14ac:dyDescent="0.3">
      <c r="A70" s="125" t="s">
        <v>159</v>
      </c>
      <c r="B70" s="145"/>
    </row>
    <row r="71" spans="1:11" ht="360.75" customHeight="1" x14ac:dyDescent="0.25">
      <c r="A71" s="144" t="s">
        <v>378</v>
      </c>
      <c r="B71" s="144"/>
      <c r="C71" s="144"/>
      <c r="D71" s="144"/>
      <c r="E71" s="144"/>
      <c r="F71" s="144"/>
      <c r="G71" s="62"/>
      <c r="H71" s="62"/>
      <c r="I71" s="62"/>
      <c r="J71" s="62"/>
      <c r="K71" s="62"/>
    </row>
    <row r="74" spans="1:11" ht="14" x14ac:dyDescent="0.3">
      <c r="A74" s="125" t="s">
        <v>161</v>
      </c>
      <c r="B74" s="145"/>
    </row>
    <row r="75" spans="1:11" ht="78" customHeight="1" x14ac:dyDescent="0.25">
      <c r="A75" s="144" t="s">
        <v>379</v>
      </c>
      <c r="B75" s="133"/>
      <c r="C75" s="133"/>
      <c r="D75" s="133"/>
      <c r="E75" s="133"/>
      <c r="F75" s="133"/>
      <c r="G75" s="98"/>
      <c r="H75" s="98"/>
      <c r="I75" s="98"/>
      <c r="J75" s="98"/>
      <c r="K75" s="98"/>
    </row>
    <row r="77" spans="1:11" ht="14" x14ac:dyDescent="0.3">
      <c r="A77" s="125" t="s">
        <v>162</v>
      </c>
      <c r="B77" s="145"/>
    </row>
    <row r="78" spans="1:11" ht="110" customHeight="1" x14ac:dyDescent="0.25">
      <c r="A78" s="133"/>
      <c r="B78" s="133"/>
      <c r="C78" s="133"/>
      <c r="D78" s="133"/>
      <c r="E78" s="133"/>
      <c r="F78" s="133"/>
      <c r="G78" s="133"/>
      <c r="H78" s="133"/>
      <c r="I78" s="133"/>
      <c r="J78" s="133"/>
      <c r="K78" s="133"/>
    </row>
    <row r="79" spans="1:11" customFormat="1" x14ac:dyDescent="0.3"/>
    <row r="80" spans="1:11" customFormat="1" x14ac:dyDescent="0.3"/>
    <row r="81" customFormat="1" x14ac:dyDescent="0.3"/>
    <row r="82" customFormat="1" ht="339" customHeight="1" x14ac:dyDescent="0.3"/>
    <row r="83" customFormat="1" x14ac:dyDescent="0.3"/>
    <row r="84" customFormat="1" x14ac:dyDescent="0.3"/>
    <row r="85" customFormat="1" ht="15.75" customHeigh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sheetData>
  <mergeCells count="11">
    <mergeCell ref="A70:B70"/>
    <mergeCell ref="A12:B12"/>
    <mergeCell ref="A25:B25"/>
    <mergeCell ref="A46:B46"/>
    <mergeCell ref="A66:B66"/>
    <mergeCell ref="A67:F67"/>
    <mergeCell ref="A71:F71"/>
    <mergeCell ref="A74:B74"/>
    <mergeCell ref="A75:F75"/>
    <mergeCell ref="A77:B77"/>
    <mergeCell ref="A78:K78"/>
  </mergeCells>
  <hyperlinks>
    <hyperlink ref="AV54" r:id="rId1"/>
  </hyperlinks>
  <pageMargins left="0.75000000000000011" right="0.75000000000000011" top="1" bottom="1" header="0.5" footer="0.5"/>
  <pageSetup orientation="portrait" horizontalDpi="4294967292" verticalDpi="4294967292"/>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C54ACA913CCC49891D767B31E79716" ma:contentTypeVersion="3" ma:contentTypeDescription="Create a new document." ma:contentTypeScope="" ma:versionID="5bc7d0316e76da3ceb0036fe09afc616">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52F259A-C577-40A7-8EE8-2AE0F70CB9F1}"/>
</file>

<file path=customXml/itemProps2.xml><?xml version="1.0" encoding="utf-8"?>
<ds:datastoreItem xmlns:ds="http://schemas.openxmlformats.org/officeDocument/2006/customXml" ds:itemID="{8E2355FB-CB04-4D8A-AF4E-9AB04F7DC5C5}"/>
</file>

<file path=customXml/itemProps3.xml><?xml version="1.0" encoding="utf-8"?>
<ds:datastoreItem xmlns:ds="http://schemas.openxmlformats.org/officeDocument/2006/customXml" ds:itemID="{02609B2C-4D97-4B76-9568-89C115E234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ValueofHousework</vt:lpstr>
      <vt:lpstr>CostofFamilyChange</vt:lpstr>
      <vt:lpstr>CostCrime</vt:lpstr>
      <vt:lpstr>CostPersPollutionAbate</vt:lpstr>
      <vt:lpstr>VolunteerWork</vt:lpstr>
      <vt:lpstr>CostLeisureTime</vt:lpstr>
      <vt:lpstr>ValueHigherEd</vt:lpstr>
      <vt:lpstr>HighwaysStreets</vt:lpstr>
      <vt:lpstr>CostCommuting</vt:lpstr>
      <vt:lpstr>CostMotorVehicleCrashes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Campbell, Elliott T</dc:creator>
  <cp:lastModifiedBy>Campbell, Elliott T</cp:lastModifiedBy>
  <cp:lastPrinted>2016-09-21T15:50:07Z</cp:lastPrinted>
  <dcterms:created xsi:type="dcterms:W3CDTF">2016-09-15T19:33:15Z</dcterms:created>
  <dcterms:modified xsi:type="dcterms:W3CDTF">2016-09-21T18:34:55Z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0x01010083C54ACA913CCC49891D767B31E79716</vt:lpwstr>
  </property>
</Properties>
</file>