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Override28.xml" ContentType="application/vnd.openxmlformats-officedocument.themeOverride+xml"/>
  <Override PartName="/xl/charts/chart28.xml" ContentType="application/vnd.openxmlformats-officedocument.drawingml.chart+xml"/>
  <Override PartName="/xl/theme/themeOverride23.xml" ContentType="application/vnd.openxmlformats-officedocument.themeOverride+xml"/>
  <Override PartName="/xl/charts/chart23.xml" ContentType="application/vnd.openxmlformats-officedocument.drawingml.chart+xml"/>
  <Override PartName="/xl/drawings/drawing9.xml" ContentType="application/vnd.openxmlformats-officedocument.drawing+xml"/>
  <Override PartName="/xl/worksheets/sheet1.xml" ContentType="application/vnd.openxmlformats-officedocument.spreadsheetml.worksheet+xml"/>
  <Override PartName="/xl/charts/chart22.xml" ContentType="application/vnd.openxmlformats-officedocument.drawingml.chart+xml"/>
  <Override PartName="/xl/charts/chart24.xml" ContentType="application/vnd.openxmlformats-officedocument.drawingml.chart+xml"/>
  <Override PartName="/xl/theme/themeOverride24.xml" ContentType="application/vnd.openxmlformats-officedocument.themeOverride+xml"/>
  <Override PartName="/xl/charts/chart25.xml" ContentType="application/vnd.openxmlformats-officedocument.drawingml.chart+xml"/>
  <Override PartName="/xl/theme/themeOverride27.xml" ContentType="application/vnd.openxmlformats-officedocument.themeOverride+xml"/>
  <Override PartName="/xl/charts/chart27.xml" ContentType="application/vnd.openxmlformats-officedocument.drawingml.chart+xml"/>
  <Override PartName="/xl/theme/themeOverride26.xml" ContentType="application/vnd.openxmlformats-officedocument.themeOverride+xml"/>
  <Override PartName="/xl/charts/chart26.xml" ContentType="application/vnd.openxmlformats-officedocument.drawingml.chart+xml"/>
  <Override PartName="/xl/theme/themeOverride25.xml" ContentType="application/vnd.openxmlformats-officedocument.themeOverride+xml"/>
  <Override PartName="/xl/drawings/drawing8.xml" ContentType="application/vnd.openxmlformats-officedocument.drawing+xml"/>
  <Override PartName="/xl/theme/themeOverride22.xml" ContentType="application/vnd.openxmlformats-officedocument.themeOverride+xml"/>
  <Override PartName="/xl/theme/themeOverride21.xml" ContentType="application/vnd.openxmlformats-officedocument.themeOverride+xml"/>
  <Override PartName="/xl/theme/themeOverride6.xml" ContentType="application/vnd.openxmlformats-officedocument.themeOverride+xml"/>
  <Override PartName="/xl/charts/chart6.xml" ContentType="application/vnd.openxmlformats-officedocument.drawingml.chart+xml"/>
  <Override PartName="/xl/theme/themeOverride5.xml" ContentType="application/vnd.openxmlformats-officedocument.themeOverride+xml"/>
  <Override PartName="/xl/charts/chart5.xml" ContentType="application/vnd.openxmlformats-officedocument.drawingml.chart+xml"/>
  <Override PartName="/xl/drawings/drawing3.xml" ContentType="application/vnd.openxmlformats-officedocument.drawing+xml"/>
  <Override PartName="/xl/theme/themeOverride4.xml" ContentType="application/vnd.openxmlformats-officedocument.themeOverride+xml"/>
  <Override PartName="/xl/drawings/drawing4.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5.xml" ContentType="application/vnd.openxmlformats-officedocument.drawing+xml"/>
  <Override PartName="/xl/theme/themeOverride9.xml" ContentType="application/vnd.openxmlformats-officedocument.themeOverride+xml"/>
  <Override PartName="/xl/charts/chart9.xml" ContentType="application/vnd.openxmlformats-officedocument.drawingml.chart+xml"/>
  <Override PartName="/xl/theme/themeOverride8.xml" ContentType="application/vnd.openxmlformats-officedocument.themeOverride+xml"/>
  <Override PartName="/xl/charts/chart8.xml" ContentType="application/vnd.openxmlformats-officedocument.drawingml.chart+xml"/>
  <Override PartName="/xl/charts/chart4.xml" ContentType="application/vnd.openxmlformats-officedocument.drawingml.chart+xml"/>
  <Override PartName="/xl/theme/themeOverride3.xml" ContentType="application/vnd.openxmlformats-officedocument.themeOverride+xml"/>
  <Override PartName="/xl/charts/chart3.xml" ContentType="application/vnd.openxmlformats-officedocument.drawingml.chart+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heme/themeOverride2.xml" ContentType="application/vnd.openxmlformats-officedocument.themeOverride+xml"/>
  <Override PartName="/xl/charts/chart2.xml" ContentType="application/vnd.openxmlformats-officedocument.drawingml.chart+xml"/>
  <Override PartName="/xl/theme/themeOverride1.xml" ContentType="application/vnd.openxmlformats-officedocument.themeOverride+xml"/>
  <Override PartName="/xl/charts/chart1.xml" ContentType="application/vnd.openxmlformats-officedocument.drawingml.chart+xml"/>
  <Override PartName="/xl/theme/themeOverride10.xml" ContentType="application/vnd.openxmlformats-officedocument.themeOverride+xml"/>
  <Override PartName="/xl/charts/chart10.xml" ContentType="application/vnd.openxmlformats-officedocument.drawingml.chart+xml"/>
  <Override PartName="/xl/charts/chart18.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charts/chart19.xml" ContentType="application/vnd.openxmlformats-officedocument.drawingml.chart+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theme/themeOverride18.xml" ContentType="application/vnd.openxmlformats-officedocument.themeOverride+xml"/>
  <Override PartName="/xl/theme/themeOverride15.xml" ContentType="application/vnd.openxmlformats-officedocument.themeOverride+xml"/>
  <Override PartName="/xl/theme/themeOverride14.xml" ContentType="application/vnd.openxmlformats-officedocument.themeOverride+xml"/>
  <Override PartName="/xl/theme/themeOverride12.xml" ContentType="application/vnd.openxmlformats-officedocument.themeOverride+xml"/>
  <Override PartName="/xl/charts/chart12.xml" ContentType="application/vnd.openxmlformats-officedocument.drawingml.chart+xml"/>
  <Override PartName="/xl/charts/chart21.xml" ContentType="application/vnd.openxmlformats-officedocument.drawingml.chart+xml"/>
  <Override PartName="/xl/theme/themeOverride11.xml" ContentType="application/vnd.openxmlformats-officedocument.themeOverride+xml"/>
  <Override PartName="/xl/charts/chart15.xml" ContentType="application/vnd.openxmlformats-officedocument.drawingml.chart+xml"/>
  <Override PartName="/xl/drawings/drawing6.xml" ContentType="application/vnd.openxmlformats-officedocument.drawing+xml"/>
  <Override PartName="/xl/charts/chart14.xml" ContentType="application/vnd.openxmlformats-officedocument.drawingml.chart+xml"/>
  <Override PartName="/xl/charts/chart13.xml" ContentType="application/vnd.openxmlformats-officedocument.drawingml.chart+xml"/>
  <Override PartName="/xl/theme/themeOverride20.xml" ContentType="application/vnd.openxmlformats-officedocument.themeOverride+xml"/>
  <Override PartName="/xl/theme/themeOverride13.xml" ContentType="application/vnd.openxmlformats-officedocument.themeOverride+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80" windowWidth="18900" windowHeight="7060" tabRatio="898" firstSheet="1" activeTab="8"/>
  </bookViews>
  <sheets>
    <sheet name="CostWaterPollu" sheetId="1" r:id="rId1"/>
    <sheet name="CostAirPollu" sheetId="2" r:id="rId2"/>
    <sheet name="CostNoisePollu" sheetId="3" r:id="rId3"/>
    <sheet name="CostWetlandChange" sheetId="4" r:id="rId4"/>
    <sheet name="CostFarmlandChange" sheetId="5" r:id="rId5"/>
    <sheet name="CostForestChange" sheetId="6" r:id="rId6"/>
    <sheet name="CostClimateChange" sheetId="7" r:id="rId7"/>
    <sheet name="CostOzoneDepletion" sheetId="8" r:id="rId8"/>
    <sheet name="CostNonrenewEnergy" sheetId="9" r:id="rId9"/>
  </sheets>
  <externalReferences>
    <externalReference r:id="rId10"/>
  </externalReferences>
  <calcPr calcId="145621"/>
</workbook>
</file>

<file path=xl/calcChain.xml><?xml version="1.0" encoding="utf-8"?>
<calcChain xmlns="http://schemas.openxmlformats.org/spreadsheetml/2006/main">
  <c r="BE39" i="9" l="1"/>
  <c r="BC39" i="9"/>
  <c r="BB39" i="9"/>
  <c r="BA39" i="9"/>
  <c r="BA8" i="9" s="1"/>
  <c r="AX39" i="9"/>
  <c r="AU39" i="9"/>
  <c r="AT39" i="9"/>
  <c r="AP39" i="9"/>
  <c r="AM39" i="9"/>
  <c r="AL39" i="9"/>
  <c r="AK39" i="9"/>
  <c r="AK8" i="9" s="1"/>
  <c r="AH39" i="9"/>
  <c r="AE39" i="9"/>
  <c r="AD39" i="9"/>
  <c r="Z39" i="9"/>
  <c r="W39" i="9"/>
  <c r="V39" i="9"/>
  <c r="U39" i="9"/>
  <c r="U8" i="9" s="1"/>
  <c r="R39" i="9"/>
  <c r="O39" i="9"/>
  <c r="N39" i="9"/>
  <c r="J39" i="9"/>
  <c r="G39" i="9"/>
  <c r="F39" i="9"/>
  <c r="E39" i="9"/>
  <c r="E8" i="9" s="1"/>
  <c r="BF38" i="9"/>
  <c r="BD38" i="9"/>
  <c r="BD39" i="9" s="1"/>
  <c r="BC38" i="9"/>
  <c r="BB38" i="9"/>
  <c r="BA38" i="9"/>
  <c r="AZ38" i="9"/>
  <c r="AZ39" i="9" s="1"/>
  <c r="AY38" i="9"/>
  <c r="AY39" i="9" s="1"/>
  <c r="AX38" i="9"/>
  <c r="AW38" i="9"/>
  <c r="AW39" i="9" s="1"/>
  <c r="AV38" i="9"/>
  <c r="AV39" i="9" s="1"/>
  <c r="AU38" i="9"/>
  <c r="AT38" i="9"/>
  <c r="AS38" i="9"/>
  <c r="AS39" i="9" s="1"/>
  <c r="AR38" i="9"/>
  <c r="AR39" i="9" s="1"/>
  <c r="AQ38" i="9"/>
  <c r="AQ39" i="9" s="1"/>
  <c r="AQ8" i="9" s="1"/>
  <c r="AP38" i="9"/>
  <c r="AO38" i="9"/>
  <c r="AO39" i="9" s="1"/>
  <c r="AN38" i="9"/>
  <c r="AN39" i="9" s="1"/>
  <c r="AN8" i="9" s="1"/>
  <c r="AM38" i="9"/>
  <c r="AL38" i="9"/>
  <c r="AK38" i="9"/>
  <c r="AJ38" i="9"/>
  <c r="AJ39" i="9" s="1"/>
  <c r="AI38" i="9"/>
  <c r="AI39" i="9" s="1"/>
  <c r="AH38" i="9"/>
  <c r="AG38" i="9"/>
  <c r="AG39" i="9" s="1"/>
  <c r="AF38" i="9"/>
  <c r="AF39" i="9" s="1"/>
  <c r="AE38" i="9"/>
  <c r="AD38" i="9"/>
  <c r="AC38" i="9"/>
  <c r="AC39" i="9" s="1"/>
  <c r="AB38" i="9"/>
  <c r="AB39" i="9" s="1"/>
  <c r="AA38" i="9"/>
  <c r="AA39" i="9" s="1"/>
  <c r="AA8" i="9" s="1"/>
  <c r="Z38" i="9"/>
  <c r="Y38" i="9"/>
  <c r="Y39" i="9" s="1"/>
  <c r="X38" i="9"/>
  <c r="X39" i="9" s="1"/>
  <c r="X8" i="9" s="1"/>
  <c r="W38" i="9"/>
  <c r="V38" i="9"/>
  <c r="U38" i="9"/>
  <c r="T38" i="9"/>
  <c r="T39" i="9" s="1"/>
  <c r="S38" i="9"/>
  <c r="S39" i="9" s="1"/>
  <c r="R38" i="9"/>
  <c r="Q38" i="9"/>
  <c r="Q39" i="9" s="1"/>
  <c r="P38" i="9"/>
  <c r="P39" i="9" s="1"/>
  <c r="O38" i="9"/>
  <c r="N38" i="9"/>
  <c r="M38" i="9"/>
  <c r="M39" i="9" s="1"/>
  <c r="L38" i="9"/>
  <c r="L39" i="9" s="1"/>
  <c r="K38" i="9"/>
  <c r="K39" i="9" s="1"/>
  <c r="K8" i="9" s="1"/>
  <c r="J38" i="9"/>
  <c r="I38" i="9"/>
  <c r="I39" i="9" s="1"/>
  <c r="H38" i="9"/>
  <c r="H39" i="9" s="1"/>
  <c r="H8" i="9" s="1"/>
  <c r="G38" i="9"/>
  <c r="F38" i="9"/>
  <c r="E38" i="9"/>
  <c r="D38" i="9"/>
  <c r="D39" i="9" s="1"/>
  <c r="C38" i="9"/>
  <c r="C39" i="9" s="1"/>
  <c r="BF37" i="9"/>
  <c r="BF36" i="9"/>
  <c r="O35" i="9"/>
  <c r="O7" i="9" s="1"/>
  <c r="AM34" i="9"/>
  <c r="AM35" i="9" s="1"/>
  <c r="AM7" i="9" s="1"/>
  <c r="AF34" i="9"/>
  <c r="AF35" i="9" s="1"/>
  <c r="AF7" i="9" s="1"/>
  <c r="G34" i="9"/>
  <c r="G35" i="9" s="1"/>
  <c r="G7" i="9" s="1"/>
  <c r="BD33" i="9"/>
  <c r="AU33" i="9"/>
  <c r="AQ33" i="9"/>
  <c r="AN33" i="9"/>
  <c r="AE33" i="9"/>
  <c r="AE34" i="9" s="1"/>
  <c r="AE35" i="9" s="1"/>
  <c r="AE7" i="9" s="1"/>
  <c r="AD33" i="9"/>
  <c r="AA33" i="9"/>
  <c r="X33" i="9"/>
  <c r="X34" i="9" s="1"/>
  <c r="X35" i="9" s="1"/>
  <c r="K33" i="9"/>
  <c r="BC32" i="9"/>
  <c r="BB32" i="9"/>
  <c r="AY32" i="9"/>
  <c r="AV32" i="9"/>
  <c r="AM32" i="9"/>
  <c r="AI32" i="9"/>
  <c r="AF32" i="9"/>
  <c r="W32" i="9"/>
  <c r="V32" i="9"/>
  <c r="S32" i="9"/>
  <c r="P32" i="9"/>
  <c r="G32" i="9"/>
  <c r="C32" i="9"/>
  <c r="BD31" i="9"/>
  <c r="AU31" i="9"/>
  <c r="AT31" i="9"/>
  <c r="AN31" i="9"/>
  <c r="AE31" i="9"/>
  <c r="X31" i="9"/>
  <c r="O31" i="9"/>
  <c r="N31" i="9"/>
  <c r="H31" i="9"/>
  <c r="BE30" i="9"/>
  <c r="BE33" i="9" s="1"/>
  <c r="BD30" i="9"/>
  <c r="BC30" i="9"/>
  <c r="BC33" i="9" s="1"/>
  <c r="BC34" i="9" s="1"/>
  <c r="BC35" i="9" s="1"/>
  <c r="BC41" i="9" s="1"/>
  <c r="BB30" i="9"/>
  <c r="BB33" i="9" s="1"/>
  <c r="BB34" i="9" s="1"/>
  <c r="BB35" i="9" s="1"/>
  <c r="BB7" i="9" s="1"/>
  <c r="BA30" i="9"/>
  <c r="BA33" i="9" s="1"/>
  <c r="BA34" i="9" s="1"/>
  <c r="BA35" i="9" s="1"/>
  <c r="BA7" i="9" s="1"/>
  <c r="AZ30" i="9"/>
  <c r="AZ33" i="9" s="1"/>
  <c r="AY30" i="9"/>
  <c r="AY33" i="9" s="1"/>
  <c r="AX30" i="9"/>
  <c r="AX33" i="9" s="1"/>
  <c r="AW30" i="9"/>
  <c r="AW33" i="9" s="1"/>
  <c r="AV30" i="9"/>
  <c r="AV33" i="9" s="1"/>
  <c r="AV34" i="9" s="1"/>
  <c r="AV35" i="9" s="1"/>
  <c r="AV7" i="9" s="1"/>
  <c r="AU30" i="9"/>
  <c r="AT30" i="9"/>
  <c r="AT33" i="9" s="1"/>
  <c r="AT34" i="9" s="1"/>
  <c r="AT35" i="9" s="1"/>
  <c r="AT7" i="9" s="1"/>
  <c r="AS30" i="9"/>
  <c r="AS33" i="9" s="1"/>
  <c r="AS34" i="9" s="1"/>
  <c r="AS35" i="9" s="1"/>
  <c r="AS7" i="9" s="1"/>
  <c r="AR30" i="9"/>
  <c r="AR33" i="9" s="1"/>
  <c r="AQ30" i="9"/>
  <c r="AP30" i="9"/>
  <c r="AP33" i="9" s="1"/>
  <c r="AO30" i="9"/>
  <c r="AO33" i="9" s="1"/>
  <c r="AN30" i="9"/>
  <c r="AM30" i="9"/>
  <c r="AM33" i="9" s="1"/>
  <c r="AL30" i="9"/>
  <c r="AL33" i="9" s="1"/>
  <c r="AK30" i="9"/>
  <c r="AK33" i="9" s="1"/>
  <c r="AK34" i="9" s="1"/>
  <c r="AK35" i="9" s="1"/>
  <c r="AJ30" i="9"/>
  <c r="AJ33" i="9" s="1"/>
  <c r="AI30" i="9"/>
  <c r="AI33" i="9" s="1"/>
  <c r="AH30" i="9"/>
  <c r="AH33" i="9" s="1"/>
  <c r="AG30" i="9"/>
  <c r="AG33" i="9" s="1"/>
  <c r="AF30" i="9"/>
  <c r="AF33" i="9" s="1"/>
  <c r="AE30" i="9"/>
  <c r="AD30" i="9"/>
  <c r="AC30" i="9"/>
  <c r="AC33" i="9" s="1"/>
  <c r="AC34" i="9" s="1"/>
  <c r="AC35" i="9" s="1"/>
  <c r="AC7" i="9" s="1"/>
  <c r="AB30" i="9"/>
  <c r="AB33" i="9" s="1"/>
  <c r="AA30" i="9"/>
  <c r="Z30" i="9"/>
  <c r="Z33" i="9" s="1"/>
  <c r="Y30" i="9"/>
  <c r="Y33" i="9" s="1"/>
  <c r="X30" i="9"/>
  <c r="W30" i="9"/>
  <c r="W33" i="9" s="1"/>
  <c r="W34" i="9" s="1"/>
  <c r="W35" i="9" s="1"/>
  <c r="W7" i="9" s="1"/>
  <c r="V30" i="9"/>
  <c r="V33" i="9" s="1"/>
  <c r="V34" i="9" s="1"/>
  <c r="V35" i="9" s="1"/>
  <c r="V7" i="9" s="1"/>
  <c r="U30" i="9"/>
  <c r="U33" i="9" s="1"/>
  <c r="U34" i="9" s="1"/>
  <c r="U35" i="9" s="1"/>
  <c r="T30" i="9"/>
  <c r="T33" i="9" s="1"/>
  <c r="S30" i="9"/>
  <c r="S33" i="9" s="1"/>
  <c r="R30" i="9"/>
  <c r="R33" i="9" s="1"/>
  <c r="Q30" i="9"/>
  <c r="Q33" i="9" s="1"/>
  <c r="P30" i="9"/>
  <c r="P33" i="9" s="1"/>
  <c r="O30" i="9"/>
  <c r="O33" i="9" s="1"/>
  <c r="O34" i="9" s="1"/>
  <c r="N30" i="9"/>
  <c r="N33" i="9" s="1"/>
  <c r="N34" i="9" s="1"/>
  <c r="N35" i="9" s="1"/>
  <c r="N7" i="9" s="1"/>
  <c r="M30" i="9"/>
  <c r="M33" i="9" s="1"/>
  <c r="M34" i="9" s="1"/>
  <c r="M35" i="9" s="1"/>
  <c r="M7" i="9" s="1"/>
  <c r="L30" i="9"/>
  <c r="L33" i="9" s="1"/>
  <c r="K30" i="9"/>
  <c r="J30" i="9"/>
  <c r="J33" i="9" s="1"/>
  <c r="I30" i="9"/>
  <c r="I33" i="9" s="1"/>
  <c r="H30" i="9"/>
  <c r="H33" i="9" s="1"/>
  <c r="H34" i="9" s="1"/>
  <c r="H35" i="9" s="1"/>
  <c r="H7" i="9" s="1"/>
  <c r="G30" i="9"/>
  <c r="G33" i="9" s="1"/>
  <c r="F30" i="9"/>
  <c r="F33" i="9" s="1"/>
  <c r="E30" i="9"/>
  <c r="E33" i="9" s="1"/>
  <c r="E34" i="9" s="1"/>
  <c r="E35" i="9" s="1"/>
  <c r="D30" i="9"/>
  <c r="D33" i="9" s="1"/>
  <c r="C30" i="9"/>
  <c r="C33" i="9" s="1"/>
  <c r="BE29" i="9"/>
  <c r="BE32" i="9" s="1"/>
  <c r="BD29" i="9"/>
  <c r="BC29" i="9"/>
  <c r="BB29" i="9"/>
  <c r="BA29" i="9"/>
  <c r="BA32" i="9" s="1"/>
  <c r="AZ29" i="9"/>
  <c r="AZ32" i="9" s="1"/>
  <c r="AY29" i="9"/>
  <c r="AX29" i="9"/>
  <c r="AX32" i="9" s="1"/>
  <c r="AW29" i="9"/>
  <c r="AW32" i="9" s="1"/>
  <c r="AV29" i="9"/>
  <c r="AU29" i="9"/>
  <c r="AU32" i="9" s="1"/>
  <c r="AT29" i="9"/>
  <c r="AT32" i="9" s="1"/>
  <c r="AS29" i="9"/>
  <c r="AS32" i="9" s="1"/>
  <c r="AR29" i="9"/>
  <c r="AR32" i="9" s="1"/>
  <c r="AQ29" i="9"/>
  <c r="AQ32" i="9" s="1"/>
  <c r="AP29" i="9"/>
  <c r="AP32" i="9" s="1"/>
  <c r="AO29" i="9"/>
  <c r="AO32" i="9" s="1"/>
  <c r="AN29" i="9"/>
  <c r="AN32" i="9" s="1"/>
  <c r="AM29" i="9"/>
  <c r="AL29" i="9"/>
  <c r="AL32" i="9" s="1"/>
  <c r="AL34" i="9" s="1"/>
  <c r="AL35" i="9" s="1"/>
  <c r="AL7" i="9" s="1"/>
  <c r="AK29" i="9"/>
  <c r="AK32" i="9" s="1"/>
  <c r="AJ29" i="9"/>
  <c r="AJ32" i="9" s="1"/>
  <c r="AI29" i="9"/>
  <c r="AH29" i="9"/>
  <c r="AH32" i="9" s="1"/>
  <c r="AG29" i="9"/>
  <c r="AG32" i="9" s="1"/>
  <c r="AF29" i="9"/>
  <c r="AE29" i="9"/>
  <c r="AE32" i="9" s="1"/>
  <c r="AD29" i="9"/>
  <c r="AD32" i="9" s="1"/>
  <c r="AC29" i="9"/>
  <c r="AC32" i="9" s="1"/>
  <c r="AB29" i="9"/>
  <c r="AB32" i="9" s="1"/>
  <c r="AA29" i="9"/>
  <c r="AA32" i="9" s="1"/>
  <c r="Z29" i="9"/>
  <c r="Z32" i="9" s="1"/>
  <c r="Y29" i="9"/>
  <c r="Y32" i="9" s="1"/>
  <c r="X29" i="9"/>
  <c r="X32" i="9" s="1"/>
  <c r="W29" i="9"/>
  <c r="V29" i="9"/>
  <c r="U29" i="9"/>
  <c r="U32" i="9" s="1"/>
  <c r="T29" i="9"/>
  <c r="T32" i="9" s="1"/>
  <c r="S29" i="9"/>
  <c r="R29" i="9"/>
  <c r="R32" i="9" s="1"/>
  <c r="Q29" i="9"/>
  <c r="Q32" i="9" s="1"/>
  <c r="P29" i="9"/>
  <c r="O29" i="9"/>
  <c r="O32" i="9" s="1"/>
  <c r="N29" i="9"/>
  <c r="N32" i="9" s="1"/>
  <c r="M29" i="9"/>
  <c r="M32" i="9" s="1"/>
  <c r="L29" i="9"/>
  <c r="L32" i="9" s="1"/>
  <c r="K29" i="9"/>
  <c r="K32" i="9" s="1"/>
  <c r="J29" i="9"/>
  <c r="J32" i="9" s="1"/>
  <c r="I29" i="9"/>
  <c r="I32" i="9" s="1"/>
  <c r="H29" i="9"/>
  <c r="H32" i="9" s="1"/>
  <c r="G29" i="9"/>
  <c r="F29" i="9"/>
  <c r="F32" i="9" s="1"/>
  <c r="F34" i="9" s="1"/>
  <c r="F35" i="9" s="1"/>
  <c r="F7" i="9" s="1"/>
  <c r="E29" i="9"/>
  <c r="E32" i="9" s="1"/>
  <c r="D29" i="9"/>
  <c r="D32" i="9" s="1"/>
  <c r="C29" i="9"/>
  <c r="BE28" i="9"/>
  <c r="BE31" i="9" s="1"/>
  <c r="BD28" i="9"/>
  <c r="BC28" i="9"/>
  <c r="BC31" i="9" s="1"/>
  <c r="BB28" i="9"/>
  <c r="BB31" i="9" s="1"/>
  <c r="BA28" i="9"/>
  <c r="BA31" i="9" s="1"/>
  <c r="AZ28" i="9"/>
  <c r="AZ31" i="9" s="1"/>
  <c r="AY28" i="9"/>
  <c r="AY31" i="9" s="1"/>
  <c r="AX28" i="9"/>
  <c r="AX31" i="9" s="1"/>
  <c r="AW28" i="9"/>
  <c r="AW31" i="9" s="1"/>
  <c r="AV28" i="9"/>
  <c r="AV31" i="9" s="1"/>
  <c r="AU28" i="9"/>
  <c r="AT28" i="9"/>
  <c r="AS28" i="9"/>
  <c r="AS31" i="9" s="1"/>
  <c r="AR28" i="9"/>
  <c r="AR31" i="9" s="1"/>
  <c r="AQ28" i="9"/>
  <c r="AQ31" i="9" s="1"/>
  <c r="AP28" i="9"/>
  <c r="AP31" i="9" s="1"/>
  <c r="AO28" i="9"/>
  <c r="AO31" i="9" s="1"/>
  <c r="AN28" i="9"/>
  <c r="AM28" i="9"/>
  <c r="AM31" i="9" s="1"/>
  <c r="AL28" i="9"/>
  <c r="AL31" i="9" s="1"/>
  <c r="AK28" i="9"/>
  <c r="AK31" i="9" s="1"/>
  <c r="AJ28" i="9"/>
  <c r="AJ31" i="9" s="1"/>
  <c r="AI28" i="9"/>
  <c r="AI31" i="9" s="1"/>
  <c r="AI34" i="9" s="1"/>
  <c r="AI35" i="9" s="1"/>
  <c r="AI7" i="9" s="1"/>
  <c r="AH28" i="9"/>
  <c r="AH31" i="9" s="1"/>
  <c r="AG28" i="9"/>
  <c r="AG31" i="9" s="1"/>
  <c r="AF28" i="9"/>
  <c r="AF31" i="9" s="1"/>
  <c r="AE28" i="9"/>
  <c r="AD28" i="9"/>
  <c r="AD31" i="9" s="1"/>
  <c r="AC28" i="9"/>
  <c r="AC31" i="9" s="1"/>
  <c r="AB28" i="9"/>
  <c r="AB31" i="9" s="1"/>
  <c r="AA28" i="9"/>
  <c r="AA31" i="9" s="1"/>
  <c r="Z28" i="9"/>
  <c r="Z31" i="9" s="1"/>
  <c r="Y28" i="9"/>
  <c r="Y31" i="9" s="1"/>
  <c r="X28" i="9"/>
  <c r="W28" i="9"/>
  <c r="W31" i="9" s="1"/>
  <c r="V28" i="9"/>
  <c r="V31" i="9" s="1"/>
  <c r="U28" i="9"/>
  <c r="U31" i="9" s="1"/>
  <c r="T28" i="9"/>
  <c r="T31" i="9" s="1"/>
  <c r="S28" i="9"/>
  <c r="S31" i="9" s="1"/>
  <c r="R28" i="9"/>
  <c r="R31" i="9" s="1"/>
  <c r="Q28" i="9"/>
  <c r="Q31" i="9" s="1"/>
  <c r="P28" i="9"/>
  <c r="P31" i="9" s="1"/>
  <c r="O28" i="9"/>
  <c r="N28" i="9"/>
  <c r="M28" i="9"/>
  <c r="M31" i="9" s="1"/>
  <c r="L28" i="9"/>
  <c r="L31" i="9" s="1"/>
  <c r="K28" i="9"/>
  <c r="K31" i="9" s="1"/>
  <c r="J28" i="9"/>
  <c r="J31" i="9" s="1"/>
  <c r="I28" i="9"/>
  <c r="I31" i="9" s="1"/>
  <c r="H28" i="9"/>
  <c r="G28" i="9"/>
  <c r="G31" i="9" s="1"/>
  <c r="F28" i="9"/>
  <c r="F31" i="9" s="1"/>
  <c r="E28" i="9"/>
  <c r="E31" i="9" s="1"/>
  <c r="D28" i="9"/>
  <c r="D31" i="9" s="1"/>
  <c r="C28" i="9"/>
  <c r="C31" i="9" s="1"/>
  <c r="BF27" i="9"/>
  <c r="BF26" i="9"/>
  <c r="BF25" i="9"/>
  <c r="BF24" i="9"/>
  <c r="BF23" i="9"/>
  <c r="BE5" i="9" s="1"/>
  <c r="BF22" i="9"/>
  <c r="BA21" i="9"/>
  <c r="BA3" i="9" s="1"/>
  <c r="BE8" i="9"/>
  <c r="BD8" i="9"/>
  <c r="BC8" i="9"/>
  <c r="AZ8" i="9"/>
  <c r="AY8" i="9"/>
  <c r="AR8" i="9"/>
  <c r="AP8" i="9"/>
  <c r="AM8" i="9"/>
  <c r="AJ8" i="9"/>
  <c r="AI8" i="9"/>
  <c r="AB8" i="9"/>
  <c r="Z8" i="9"/>
  <c r="W8" i="9"/>
  <c r="T8" i="9"/>
  <c r="S8" i="9"/>
  <c r="R8" i="9"/>
  <c r="L8" i="9"/>
  <c r="J8" i="9"/>
  <c r="G8" i="9"/>
  <c r="D8" i="9"/>
  <c r="C8" i="9"/>
  <c r="BE6" i="9"/>
  <c r="BD6" i="9"/>
  <c r="BC6" i="9"/>
  <c r="BB6" i="9"/>
  <c r="BA6" i="9"/>
  <c r="AZ6" i="9"/>
  <c r="AY6" i="9"/>
  <c r="AX6" i="9"/>
  <c r="AW6" i="9"/>
  <c r="AV6" i="9"/>
  <c r="AU6" i="9"/>
  <c r="AT6" i="9"/>
  <c r="AS6" i="9"/>
  <c r="AR6" i="9"/>
  <c r="AQ6" i="9"/>
  <c r="AP6" i="9"/>
  <c r="AO6" i="9"/>
  <c r="AN6" i="9"/>
  <c r="AM6" i="9"/>
  <c r="AL6" i="9"/>
  <c r="AK6" i="9"/>
  <c r="AJ6" i="9"/>
  <c r="AI6" i="9"/>
  <c r="AH6" i="9"/>
  <c r="AG6" i="9"/>
  <c r="AF6" i="9"/>
  <c r="AE6" i="9"/>
  <c r="AD6" i="9"/>
  <c r="AC6" i="9"/>
  <c r="AB6" i="9"/>
  <c r="AA6" i="9"/>
  <c r="Z6" i="9"/>
  <c r="Y6" i="9"/>
  <c r="X6" i="9"/>
  <c r="W6" i="9"/>
  <c r="V6" i="9"/>
  <c r="U6" i="9"/>
  <c r="T6" i="9"/>
  <c r="S6" i="9"/>
  <c r="R6" i="9"/>
  <c r="Q6" i="9"/>
  <c r="P6" i="9"/>
  <c r="O6" i="9"/>
  <c r="N6" i="9"/>
  <c r="M6" i="9"/>
  <c r="L6" i="9"/>
  <c r="K6" i="9"/>
  <c r="J6" i="9"/>
  <c r="I6" i="9"/>
  <c r="H6" i="9"/>
  <c r="G6" i="9"/>
  <c r="F6" i="9"/>
  <c r="E6" i="9"/>
  <c r="D6" i="9"/>
  <c r="C6" i="9"/>
  <c r="BD5" i="9"/>
  <c r="BC5" i="9"/>
  <c r="BB5" i="9"/>
  <c r="BA5" i="9"/>
  <c r="AZ5" i="9"/>
  <c r="AY5" i="9"/>
  <c r="AX5" i="9"/>
  <c r="AW5" i="9"/>
  <c r="AV5" i="9"/>
  <c r="AU5" i="9"/>
  <c r="AT5" i="9"/>
  <c r="AS5" i="9"/>
  <c r="AR5" i="9"/>
  <c r="AQ5" i="9"/>
  <c r="AP5" i="9"/>
  <c r="AO5" i="9"/>
  <c r="AN5" i="9"/>
  <c r="AM5" i="9"/>
  <c r="AL5" i="9"/>
  <c r="AK5" i="9"/>
  <c r="AJ5" i="9"/>
  <c r="AI5" i="9"/>
  <c r="AH5" i="9"/>
  <c r="AG5" i="9"/>
  <c r="AF5" i="9"/>
  <c r="AE5" i="9"/>
  <c r="AD5" i="9"/>
  <c r="AC5" i="9"/>
  <c r="AB5" i="9"/>
  <c r="AA5" i="9"/>
  <c r="Z5" i="9"/>
  <c r="Y5" i="9"/>
  <c r="X5" i="9"/>
  <c r="W5" i="9"/>
  <c r="V5" i="9"/>
  <c r="U5" i="9"/>
  <c r="T5" i="9"/>
  <c r="S5" i="9"/>
  <c r="R5" i="9"/>
  <c r="Q5" i="9"/>
  <c r="P5" i="9"/>
  <c r="O5" i="9"/>
  <c r="N5" i="9"/>
  <c r="M5" i="9"/>
  <c r="L5" i="9"/>
  <c r="K5" i="9"/>
  <c r="J5" i="9"/>
  <c r="I5" i="9"/>
  <c r="H5" i="9"/>
  <c r="G5" i="9"/>
  <c r="F5" i="9"/>
  <c r="E5" i="9"/>
  <c r="D5" i="9"/>
  <c r="C5" i="9"/>
  <c r="BE4" i="9"/>
  <c r="BD4" i="9"/>
  <c r="BC4" i="9"/>
  <c r="BB4" i="9"/>
  <c r="BA4" i="9"/>
  <c r="AZ4" i="9"/>
  <c r="AY4" i="9"/>
  <c r="AX4" i="9"/>
  <c r="AW4" i="9"/>
  <c r="AV4" i="9"/>
  <c r="AU4" i="9"/>
  <c r="AT4" i="9"/>
  <c r="AS4" i="9"/>
  <c r="AR4" i="9"/>
  <c r="AQ4" i="9"/>
  <c r="AP4" i="9"/>
  <c r="AO4" i="9"/>
  <c r="AN4" i="9"/>
  <c r="AM4" i="9"/>
  <c r="AL4" i="9"/>
  <c r="AK4" i="9"/>
  <c r="AJ4" i="9"/>
  <c r="AI4" i="9"/>
  <c r="AH4" i="9"/>
  <c r="AG4" i="9"/>
  <c r="AF4" i="9"/>
  <c r="AE4" i="9"/>
  <c r="AD4" i="9"/>
  <c r="AC4" i="9"/>
  <c r="AB4" i="9"/>
  <c r="AA4" i="9"/>
  <c r="Z4" i="9"/>
  <c r="Y4" i="9"/>
  <c r="X4" i="9"/>
  <c r="W4" i="9"/>
  <c r="V4" i="9"/>
  <c r="U4" i="9"/>
  <c r="T4" i="9"/>
  <c r="S4" i="9"/>
  <c r="R4" i="9"/>
  <c r="Q4" i="9"/>
  <c r="P4" i="9"/>
  <c r="O4" i="9"/>
  <c r="N4" i="9"/>
  <c r="M4" i="9"/>
  <c r="L4" i="9"/>
  <c r="K4" i="9"/>
  <c r="J4" i="9"/>
  <c r="I4" i="9"/>
  <c r="H4" i="9"/>
  <c r="G4" i="9"/>
  <c r="F4" i="9"/>
  <c r="E4" i="9"/>
  <c r="D4" i="9"/>
  <c r="C4" i="9"/>
  <c r="BE3" i="9"/>
  <c r="BD17" i="8"/>
  <c r="BC17" i="8"/>
  <c r="BB17" i="8"/>
  <c r="BB12" i="8" s="1"/>
  <c r="BB3" i="8" s="1"/>
  <c r="BA17" i="8"/>
  <c r="AZ17" i="8"/>
  <c r="AY17" i="8"/>
  <c r="AX17" i="8"/>
  <c r="AW17" i="8"/>
  <c r="AV17" i="8"/>
  <c r="AU17" i="8"/>
  <c r="AT17" i="8"/>
  <c r="AS17" i="8"/>
  <c r="AR17" i="8"/>
  <c r="AQ17" i="8"/>
  <c r="AP17" i="8"/>
  <c r="AO17" i="8"/>
  <c r="AN17" i="8"/>
  <c r="AN12" i="8" s="1"/>
  <c r="AM17" i="8"/>
  <c r="AM12" i="8" s="1"/>
  <c r="AL17" i="8"/>
  <c r="AL12" i="8" s="1"/>
  <c r="AK17" i="8"/>
  <c r="AJ17" i="8"/>
  <c r="AI17" i="8"/>
  <c r="AH17" i="8"/>
  <c r="AG17" i="8"/>
  <c r="AF17" i="8"/>
  <c r="AF12" i="8" s="1"/>
  <c r="AE17" i="8"/>
  <c r="AE12" i="8" s="1"/>
  <c r="AD17" i="8"/>
  <c r="AD12" i="8" s="1"/>
  <c r="AC17" i="8"/>
  <c r="AB17" i="8"/>
  <c r="AA17" i="8"/>
  <c r="Z17" i="8"/>
  <c r="Y17" i="8"/>
  <c r="X17" i="8"/>
  <c r="X12" i="8" s="1"/>
  <c r="W17" i="8"/>
  <c r="V17" i="8"/>
  <c r="U17" i="8"/>
  <c r="T17" i="8"/>
  <c r="S17" i="8"/>
  <c r="R17" i="8"/>
  <c r="Q17" i="8"/>
  <c r="P17" i="8"/>
  <c r="P12" i="8" s="1"/>
  <c r="O17" i="8"/>
  <c r="O12" i="8" s="1"/>
  <c r="N17" i="8"/>
  <c r="N12" i="8" s="1"/>
  <c r="M17" i="8"/>
  <c r="L17" i="8"/>
  <c r="K17" i="8"/>
  <c r="J17" i="8"/>
  <c r="I17" i="8"/>
  <c r="H17" i="8"/>
  <c r="H12" i="8" s="1"/>
  <c r="G17" i="8"/>
  <c r="G12" i="8" s="1"/>
  <c r="F17" i="8"/>
  <c r="F12" i="8" s="1"/>
  <c r="E17" i="8"/>
  <c r="D17" i="8"/>
  <c r="C17" i="8"/>
  <c r="BD16" i="8"/>
  <c r="BC16" i="8"/>
  <c r="BB16" i="8"/>
  <c r="BA16" i="8"/>
  <c r="BA12" i="8" s="1"/>
  <c r="BA3" i="8" s="1"/>
  <c r="AZ16" i="8"/>
  <c r="AY16" i="8"/>
  <c r="AX16" i="8"/>
  <c r="AW16" i="8"/>
  <c r="AV16" i="8"/>
  <c r="AU16" i="8"/>
  <c r="AT16" i="8"/>
  <c r="AS16" i="8"/>
  <c r="AR16" i="8"/>
  <c r="AQ16" i="8"/>
  <c r="AP16" i="8"/>
  <c r="AP12" i="8" s="1"/>
  <c r="AP3" i="8" s="1"/>
  <c r="AO16" i="8"/>
  <c r="AO12" i="8" s="1"/>
  <c r="AN16" i="8"/>
  <c r="AM16" i="8"/>
  <c r="AL16" i="8"/>
  <c r="AK16" i="8"/>
  <c r="AK12" i="8" s="1"/>
  <c r="AJ16" i="8"/>
  <c r="AI16" i="8"/>
  <c r="AH16" i="8"/>
  <c r="AH12" i="8" s="1"/>
  <c r="AG16" i="8"/>
  <c r="AG12" i="8" s="1"/>
  <c r="AF16" i="8"/>
  <c r="AE16" i="8"/>
  <c r="AD16" i="8"/>
  <c r="AC16" i="8"/>
  <c r="AB16" i="8"/>
  <c r="AA16" i="8"/>
  <c r="Z16" i="8"/>
  <c r="Z12" i="8" s="1"/>
  <c r="Y16" i="8"/>
  <c r="Y12" i="8" s="1"/>
  <c r="X16" i="8"/>
  <c r="W16" i="8"/>
  <c r="V16" i="8"/>
  <c r="U16" i="8"/>
  <c r="U12" i="8" s="1"/>
  <c r="T16" i="8"/>
  <c r="S16" i="8"/>
  <c r="R16" i="8"/>
  <c r="R12" i="8" s="1"/>
  <c r="Q16" i="8"/>
  <c r="Q12" i="8" s="1"/>
  <c r="P16" i="8"/>
  <c r="O16" i="8"/>
  <c r="N16" i="8"/>
  <c r="M16" i="8"/>
  <c r="L16" i="8"/>
  <c r="K16" i="8"/>
  <c r="J16" i="8"/>
  <c r="J12" i="8" s="1"/>
  <c r="I16" i="8"/>
  <c r="I12" i="8" s="1"/>
  <c r="H16" i="8"/>
  <c r="G16" i="8"/>
  <c r="F16" i="8"/>
  <c r="E16" i="8"/>
  <c r="D16" i="8"/>
  <c r="C16" i="8"/>
  <c r="BD15" i="8"/>
  <c r="BD13" i="8" s="1"/>
  <c r="BC15" i="8"/>
  <c r="BB15" i="8"/>
  <c r="BA15" i="8"/>
  <c r="AZ15" i="8"/>
  <c r="AZ13" i="8" s="1"/>
  <c r="AY15" i="8"/>
  <c r="AX15" i="8"/>
  <c r="AW15" i="8"/>
  <c r="AW13" i="8" s="1"/>
  <c r="AV15" i="8"/>
  <c r="AU15" i="8"/>
  <c r="AT15" i="8"/>
  <c r="AS15" i="8"/>
  <c r="AR15" i="8"/>
  <c r="AR13" i="8" s="1"/>
  <c r="AQ15" i="8"/>
  <c r="AP15" i="8"/>
  <c r="BC13" i="8"/>
  <c r="BB13" i="8"/>
  <c r="BA13" i="8"/>
  <c r="AY13" i="8"/>
  <c r="AX13" i="8"/>
  <c r="AV13" i="8"/>
  <c r="AU13" i="8"/>
  <c r="AT13" i="8"/>
  <c r="AS13" i="8"/>
  <c r="AQ13" i="8"/>
  <c r="AP13" i="8"/>
  <c r="AX12" i="8"/>
  <c r="AX3" i="8" s="1"/>
  <c r="AU12" i="8"/>
  <c r="AU3" i="8" s="1"/>
  <c r="AT12" i="8"/>
  <c r="AT3" i="8" s="1"/>
  <c r="W12" i="8"/>
  <c r="V12" i="8"/>
  <c r="D63" i="7"/>
  <c r="E63" i="7" s="1"/>
  <c r="I31" i="7"/>
  <c r="J31" i="7" s="1"/>
  <c r="K31" i="7" s="1"/>
  <c r="L31" i="7" s="1"/>
  <c r="M31" i="7" s="1"/>
  <c r="N31" i="7" s="1"/>
  <c r="O31" i="7" s="1"/>
  <c r="P31" i="7" s="1"/>
  <c r="Q31" i="7" s="1"/>
  <c r="R31" i="7" s="1"/>
  <c r="S31" i="7" s="1"/>
  <c r="T31" i="7" s="1"/>
  <c r="U31" i="7" s="1"/>
  <c r="V31" i="7" s="1"/>
  <c r="W31" i="7" s="1"/>
  <c r="X31" i="7" s="1"/>
  <c r="Y31" i="7" s="1"/>
  <c r="Z31" i="7" s="1"/>
  <c r="AA31" i="7" s="1"/>
  <c r="AB31" i="7" s="1"/>
  <c r="AC31" i="7" s="1"/>
  <c r="AD31" i="7" s="1"/>
  <c r="AE31" i="7" s="1"/>
  <c r="AF31" i="7" s="1"/>
  <c r="AG31" i="7" s="1"/>
  <c r="AH31" i="7" s="1"/>
  <c r="H31" i="7"/>
  <c r="BA30" i="7"/>
  <c r="AS30" i="7"/>
  <c r="AK30" i="7"/>
  <c r="AH30" i="7"/>
  <c r="AC30" i="7"/>
  <c r="U30" i="7"/>
  <c r="R30" i="7"/>
  <c r="R8" i="7" s="1"/>
  <c r="M30" i="7"/>
  <c r="E30" i="7"/>
  <c r="BE29" i="7"/>
  <c r="BD29" i="7"/>
  <c r="BC29" i="7"/>
  <c r="BB29" i="7"/>
  <c r="BA29" i="7"/>
  <c r="AZ29" i="7"/>
  <c r="AZ30" i="7" s="1"/>
  <c r="AY29" i="7"/>
  <c r="AY7" i="7" s="1"/>
  <c r="AX29" i="7"/>
  <c r="AX7" i="7" s="1"/>
  <c r="AW29" i="7"/>
  <c r="AW7" i="7" s="1"/>
  <c r="AV29" i="7"/>
  <c r="AU29" i="7"/>
  <c r="AT29" i="7"/>
  <c r="AS29" i="7"/>
  <c r="AR29" i="7"/>
  <c r="AQ29" i="7"/>
  <c r="AQ7" i="7" s="1"/>
  <c r="AP29" i="7"/>
  <c r="AP7" i="7" s="1"/>
  <c r="AO29" i="7"/>
  <c r="AO7" i="7" s="1"/>
  <c r="AN29" i="7"/>
  <c r="AM29" i="7"/>
  <c r="AL29" i="7"/>
  <c r="AK29" i="7"/>
  <c r="AJ29" i="7"/>
  <c r="AJ30" i="7" s="1"/>
  <c r="AI29" i="7"/>
  <c r="AI7" i="7" s="1"/>
  <c r="AH29" i="7"/>
  <c r="AH7" i="7" s="1"/>
  <c r="AG29" i="7"/>
  <c r="AG7" i="7" s="1"/>
  <c r="AF29" i="7"/>
  <c r="AE29" i="7"/>
  <c r="AD29" i="7"/>
  <c r="AC29" i="7"/>
  <c r="AB29" i="7"/>
  <c r="AB30" i="7" s="1"/>
  <c r="AA29" i="7"/>
  <c r="AA7" i="7" s="1"/>
  <c r="Z29" i="7"/>
  <c r="Z7" i="7" s="1"/>
  <c r="Y29" i="7"/>
  <c r="Y7" i="7" s="1"/>
  <c r="X29" i="7"/>
  <c r="W29" i="7"/>
  <c r="V29" i="7"/>
  <c r="U29" i="7"/>
  <c r="T29" i="7"/>
  <c r="S29" i="7"/>
  <c r="S7" i="7" s="1"/>
  <c r="R29" i="7"/>
  <c r="R7" i="7" s="1"/>
  <c r="Q29" i="7"/>
  <c r="Q7" i="7" s="1"/>
  <c r="P29" i="7"/>
  <c r="O29" i="7"/>
  <c r="N29" i="7"/>
  <c r="M29" i="7"/>
  <c r="L29" i="7"/>
  <c r="L30" i="7" s="1"/>
  <c r="K29" i="7"/>
  <c r="K7" i="7" s="1"/>
  <c r="J29" i="7"/>
  <c r="J7" i="7" s="1"/>
  <c r="I29" i="7"/>
  <c r="I7" i="7" s="1"/>
  <c r="H29" i="7"/>
  <c r="G29" i="7"/>
  <c r="F29" i="7"/>
  <c r="E29" i="7"/>
  <c r="D29" i="7"/>
  <c r="D7" i="7" s="1"/>
  <c r="C29" i="7"/>
  <c r="C7" i="7" s="1"/>
  <c r="BE28" i="7"/>
  <c r="BD28" i="7"/>
  <c r="BD6" i="7" s="1"/>
  <c r="BC28" i="7"/>
  <c r="BB28" i="7"/>
  <c r="BA28" i="7"/>
  <c r="AZ28" i="7"/>
  <c r="AY28" i="7"/>
  <c r="AX28" i="7"/>
  <c r="AX6" i="7" s="1"/>
  <c r="AW28" i="7"/>
  <c r="AW6" i="7" s="1"/>
  <c r="AV28" i="7"/>
  <c r="AV6" i="7" s="1"/>
  <c r="AU28" i="7"/>
  <c r="AT28" i="7"/>
  <c r="AS28" i="7"/>
  <c r="AR28" i="7"/>
  <c r="AQ28" i="7"/>
  <c r="AP28" i="7"/>
  <c r="AP6" i="7" s="1"/>
  <c r="AO28" i="7"/>
  <c r="AO6" i="7" s="1"/>
  <c r="AN28" i="7"/>
  <c r="AN6" i="7" s="1"/>
  <c r="AM28" i="7"/>
  <c r="AL28" i="7"/>
  <c r="AK28" i="7"/>
  <c r="AJ28" i="7"/>
  <c r="AI28" i="7"/>
  <c r="AI6" i="7" s="1"/>
  <c r="AH28" i="7"/>
  <c r="AH6" i="7" s="1"/>
  <c r="AG28" i="7"/>
  <c r="AG6" i="7" s="1"/>
  <c r="AF28" i="7"/>
  <c r="AF6" i="7" s="1"/>
  <c r="AE28" i="7"/>
  <c r="AD28" i="7"/>
  <c r="AC28" i="7"/>
  <c r="AB28" i="7"/>
  <c r="AA28" i="7"/>
  <c r="AA30" i="7" s="1"/>
  <c r="Z28" i="7"/>
  <c r="Z6" i="7" s="1"/>
  <c r="Y28" i="7"/>
  <c r="X28" i="7"/>
  <c r="X6" i="7" s="1"/>
  <c r="W28" i="7"/>
  <c r="V28" i="7"/>
  <c r="U28" i="7"/>
  <c r="T28" i="7"/>
  <c r="S28" i="7"/>
  <c r="R28" i="7"/>
  <c r="Q28" i="7"/>
  <c r="P28" i="7"/>
  <c r="P6" i="7" s="1"/>
  <c r="O28" i="7"/>
  <c r="N28" i="7"/>
  <c r="M28" i="7"/>
  <c r="L28" i="7"/>
  <c r="K28" i="7"/>
  <c r="J28" i="7"/>
  <c r="J6" i="7" s="1"/>
  <c r="I28" i="7"/>
  <c r="H28" i="7"/>
  <c r="H6" i="7" s="1"/>
  <c r="G28" i="7"/>
  <c r="F28" i="7"/>
  <c r="E28" i="7"/>
  <c r="D28" i="7"/>
  <c r="C28" i="7"/>
  <c r="BE27" i="7"/>
  <c r="BD27" i="7"/>
  <c r="BD5" i="7" s="1"/>
  <c r="BC27" i="7"/>
  <c r="BC5" i="7" s="1"/>
  <c r="BB27" i="7"/>
  <c r="BA27" i="7"/>
  <c r="AZ27" i="7"/>
  <c r="AY27" i="7"/>
  <c r="AX27" i="7"/>
  <c r="AW27" i="7"/>
  <c r="AW5" i="7" s="1"/>
  <c r="AV27" i="7"/>
  <c r="AV5" i="7" s="1"/>
  <c r="AU27" i="7"/>
  <c r="AU5" i="7" s="1"/>
  <c r="AT27" i="7"/>
  <c r="AS27" i="7"/>
  <c r="AR27" i="7"/>
  <c r="AQ27" i="7"/>
  <c r="AP27" i="7"/>
  <c r="AO27" i="7"/>
  <c r="AO5" i="7" s="1"/>
  <c r="AN27" i="7"/>
  <c r="AN5" i="7" s="1"/>
  <c r="AM27" i="7"/>
  <c r="AM5" i="7" s="1"/>
  <c r="AL27" i="7"/>
  <c r="AK27" i="7"/>
  <c r="AJ27" i="7"/>
  <c r="AI27" i="7"/>
  <c r="AH27" i="7"/>
  <c r="AH5" i="7" s="1"/>
  <c r="AG27" i="7"/>
  <c r="AG5" i="7" s="1"/>
  <c r="AF27" i="7"/>
  <c r="AF5" i="7" s="1"/>
  <c r="AE27" i="7"/>
  <c r="AE5" i="7" s="1"/>
  <c r="AD27" i="7"/>
  <c r="AC27" i="7"/>
  <c r="AB27" i="7"/>
  <c r="AA27" i="7"/>
  <c r="Z27" i="7"/>
  <c r="Y27" i="7"/>
  <c r="Y5" i="7" s="1"/>
  <c r="X27" i="7"/>
  <c r="X5" i="7" s="1"/>
  <c r="W27" i="7"/>
  <c r="W5" i="7" s="1"/>
  <c r="V27" i="7"/>
  <c r="U27" i="7"/>
  <c r="T27" i="7"/>
  <c r="S27" i="7"/>
  <c r="R27" i="7"/>
  <c r="R5" i="7" s="1"/>
  <c r="Q27" i="7"/>
  <c r="Q5" i="7" s="1"/>
  <c r="P27" i="7"/>
  <c r="P5" i="7" s="1"/>
  <c r="O27" i="7"/>
  <c r="O5" i="7" s="1"/>
  <c r="N27" i="7"/>
  <c r="M27" i="7"/>
  <c r="L27" i="7"/>
  <c r="K27" i="7"/>
  <c r="J27" i="7"/>
  <c r="I27" i="7"/>
  <c r="I5" i="7" s="1"/>
  <c r="H27" i="7"/>
  <c r="H5" i="7" s="1"/>
  <c r="G27" i="7"/>
  <c r="G5" i="7" s="1"/>
  <c r="F27" i="7"/>
  <c r="E27" i="7"/>
  <c r="D27" i="7"/>
  <c r="C27" i="7"/>
  <c r="BE26" i="7"/>
  <c r="BD26" i="7"/>
  <c r="BC26" i="7"/>
  <c r="BB26" i="7"/>
  <c r="BA26" i="7"/>
  <c r="AZ26" i="7"/>
  <c r="AY26" i="7"/>
  <c r="AX26" i="7"/>
  <c r="AW26" i="7"/>
  <c r="AV26" i="7"/>
  <c r="AU26" i="7"/>
  <c r="AT26" i="7"/>
  <c r="AS26" i="7"/>
  <c r="AR26" i="7"/>
  <c r="AQ26" i="7"/>
  <c r="AP26" i="7"/>
  <c r="AO26" i="7"/>
  <c r="AO30" i="7" s="1"/>
  <c r="AN26" i="7"/>
  <c r="AM26" i="7"/>
  <c r="AL26" i="7"/>
  <c r="AK26" i="7"/>
  <c r="AJ26" i="7"/>
  <c r="AI26" i="7"/>
  <c r="AH26" i="7"/>
  <c r="AG26" i="7"/>
  <c r="AF26" i="7"/>
  <c r="AE26" i="7"/>
  <c r="AD26" i="7"/>
  <c r="AC26" i="7"/>
  <c r="AB26" i="7"/>
  <c r="AA26" i="7"/>
  <c r="Z26" i="7"/>
  <c r="Y26" i="7"/>
  <c r="X26" i="7"/>
  <c r="W26" i="7"/>
  <c r="V26" i="7"/>
  <c r="U26" i="7"/>
  <c r="T26" i="7"/>
  <c r="S26" i="7"/>
  <c r="R26" i="7"/>
  <c r="Q26" i="7"/>
  <c r="Q30" i="7" s="1"/>
  <c r="Q8" i="7" s="1"/>
  <c r="P26" i="7"/>
  <c r="O26" i="7"/>
  <c r="N26" i="7"/>
  <c r="M26" i="7"/>
  <c r="L26" i="7"/>
  <c r="K26" i="7"/>
  <c r="J26" i="7"/>
  <c r="I26" i="7"/>
  <c r="H26" i="7"/>
  <c r="G26" i="7"/>
  <c r="F26" i="7"/>
  <c r="E26" i="7"/>
  <c r="D26" i="7"/>
  <c r="C26" i="7"/>
  <c r="BE25" i="7"/>
  <c r="BE24" i="7"/>
  <c r="BE23" i="7"/>
  <c r="BE22" i="7"/>
  <c r="R21" i="7"/>
  <c r="R3" i="7" s="1"/>
  <c r="AH8" i="7"/>
  <c r="BD7" i="7"/>
  <c r="BC7" i="7"/>
  <c r="BB7" i="7"/>
  <c r="BA7" i="7"/>
  <c r="AZ7" i="7"/>
  <c r="AV7" i="7"/>
  <c r="AU7" i="7"/>
  <c r="AT7" i="7"/>
  <c r="AS7" i="7"/>
  <c r="AN7" i="7"/>
  <c r="AM7" i="7"/>
  <c r="AL7" i="7"/>
  <c r="AK7" i="7"/>
  <c r="AJ7" i="7"/>
  <c r="AF7" i="7"/>
  <c r="AE7" i="7"/>
  <c r="AD7" i="7"/>
  <c r="AC7" i="7"/>
  <c r="AB7" i="7"/>
  <c r="X7" i="7"/>
  <c r="W7" i="7"/>
  <c r="V7" i="7"/>
  <c r="U7" i="7"/>
  <c r="P7" i="7"/>
  <c r="O7" i="7"/>
  <c r="N7" i="7"/>
  <c r="M7" i="7"/>
  <c r="L7" i="7"/>
  <c r="H7" i="7"/>
  <c r="G7" i="7"/>
  <c r="F7" i="7"/>
  <c r="E7" i="7"/>
  <c r="BC6" i="7"/>
  <c r="BB6" i="7"/>
  <c r="BA6" i="7"/>
  <c r="AZ6" i="7"/>
  <c r="AU6" i="7"/>
  <c r="AT6" i="7"/>
  <c r="AS6" i="7"/>
  <c r="AR6" i="7"/>
  <c r="AM6" i="7"/>
  <c r="AL6" i="7"/>
  <c r="AK6" i="7"/>
  <c r="AJ6" i="7"/>
  <c r="AE6" i="7"/>
  <c r="AD6" i="7"/>
  <c r="AC6" i="7"/>
  <c r="AB6" i="7"/>
  <c r="Y6" i="7"/>
  <c r="W6" i="7"/>
  <c r="V6" i="7"/>
  <c r="U6" i="7"/>
  <c r="T6" i="7"/>
  <c r="R6" i="7"/>
  <c r="Q6" i="7"/>
  <c r="O6" i="7"/>
  <c r="N6" i="7"/>
  <c r="M6" i="7"/>
  <c r="L6" i="7"/>
  <c r="I6" i="7"/>
  <c r="G6" i="7"/>
  <c r="F6" i="7"/>
  <c r="E6" i="7"/>
  <c r="D6" i="7"/>
  <c r="BB5" i="7"/>
  <c r="BA5" i="7"/>
  <c r="AZ5" i="7"/>
  <c r="AY5" i="7"/>
  <c r="AT5" i="7"/>
  <c r="AS5" i="7"/>
  <c r="AR5" i="7"/>
  <c r="AQ5" i="7"/>
  <c r="AL5" i="7"/>
  <c r="AK5" i="7"/>
  <c r="AJ5" i="7"/>
  <c r="AI5" i="7"/>
  <c r="AD5" i="7"/>
  <c r="AC5" i="7"/>
  <c r="AB5" i="7"/>
  <c r="AA5" i="7"/>
  <c r="V5" i="7"/>
  <c r="U5" i="7"/>
  <c r="T5" i="7"/>
  <c r="S5" i="7"/>
  <c r="N5" i="7"/>
  <c r="M5" i="7"/>
  <c r="L5" i="7"/>
  <c r="K5" i="7"/>
  <c r="F5" i="7"/>
  <c r="E5" i="7"/>
  <c r="D5" i="7"/>
  <c r="C5" i="7"/>
  <c r="BA4" i="7"/>
  <c r="AZ4" i="7"/>
  <c r="AY4" i="7"/>
  <c r="AX4" i="7"/>
  <c r="AS4" i="7"/>
  <c r="AR4" i="7"/>
  <c r="AQ4" i="7"/>
  <c r="AP4" i="7"/>
  <c r="AO4" i="7"/>
  <c r="AK4" i="7"/>
  <c r="AJ4" i="7"/>
  <c r="AI4" i="7"/>
  <c r="AH4" i="7"/>
  <c r="AC4" i="7"/>
  <c r="AB4" i="7"/>
  <c r="AA4" i="7"/>
  <c r="Z4" i="7"/>
  <c r="U4" i="7"/>
  <c r="T4" i="7"/>
  <c r="S4" i="7"/>
  <c r="R4" i="7"/>
  <c r="Q4" i="7"/>
  <c r="M4" i="7"/>
  <c r="L4" i="7"/>
  <c r="K4" i="7"/>
  <c r="J4" i="7"/>
  <c r="E4" i="7"/>
  <c r="D4" i="7"/>
  <c r="C4" i="7"/>
  <c r="C48" i="6"/>
  <c r="BC20" i="6"/>
  <c r="AW20" i="6"/>
  <c r="AV20" i="6"/>
  <c r="AU20" i="6"/>
  <c r="AO20" i="6"/>
  <c r="AN20" i="6"/>
  <c r="AM20" i="6"/>
  <c r="AG20" i="6"/>
  <c r="AF20" i="6"/>
  <c r="AE20" i="6"/>
  <c r="AD20" i="6"/>
  <c r="Y20" i="6"/>
  <c r="X20" i="6"/>
  <c r="W20" i="6"/>
  <c r="Q20" i="6"/>
  <c r="P20" i="6"/>
  <c r="O20" i="6"/>
  <c r="N20" i="6"/>
  <c r="I20" i="6"/>
  <c r="H20" i="6"/>
  <c r="G20" i="6"/>
  <c r="BD19" i="6"/>
  <c r="BC19" i="6"/>
  <c r="BB19" i="6"/>
  <c r="BB20" i="6" s="1"/>
  <c r="BA19" i="6"/>
  <c r="AZ19" i="6"/>
  <c r="AZ20" i="6" s="1"/>
  <c r="AY19" i="6"/>
  <c r="AY20" i="6" s="1"/>
  <c r="AX19" i="6"/>
  <c r="AX20" i="6" s="1"/>
  <c r="AW19" i="6"/>
  <c r="AV19" i="6"/>
  <c r="AU19" i="6"/>
  <c r="AT19" i="6"/>
  <c r="AT20" i="6" s="1"/>
  <c r="AS19" i="6"/>
  <c r="AS20" i="6" s="1"/>
  <c r="AR19" i="6"/>
  <c r="AR20" i="6" s="1"/>
  <c r="AQ19" i="6"/>
  <c r="AQ20" i="6" s="1"/>
  <c r="AP19" i="6"/>
  <c r="AP20" i="6" s="1"/>
  <c r="AO19" i="6"/>
  <c r="AN19" i="6"/>
  <c r="AM19" i="6"/>
  <c r="AL19" i="6"/>
  <c r="AL20" i="6" s="1"/>
  <c r="AK19" i="6"/>
  <c r="AK20" i="6" s="1"/>
  <c r="AJ19" i="6"/>
  <c r="AJ20" i="6" s="1"/>
  <c r="AI19" i="6"/>
  <c r="AI20" i="6" s="1"/>
  <c r="AH19" i="6"/>
  <c r="AH20" i="6" s="1"/>
  <c r="AG19" i="6"/>
  <c r="AF19" i="6"/>
  <c r="AE19" i="6"/>
  <c r="AD19" i="6"/>
  <c r="AC19" i="6"/>
  <c r="AC20" i="6" s="1"/>
  <c r="AB19" i="6"/>
  <c r="AB20" i="6" s="1"/>
  <c r="AA19" i="6"/>
  <c r="AA20" i="6" s="1"/>
  <c r="Z19" i="6"/>
  <c r="Z20" i="6" s="1"/>
  <c r="Y19" i="6"/>
  <c r="X19" i="6"/>
  <c r="W19" i="6"/>
  <c r="V19" i="6"/>
  <c r="V20" i="6" s="1"/>
  <c r="U19" i="6"/>
  <c r="U20" i="6" s="1"/>
  <c r="T19" i="6"/>
  <c r="T20" i="6" s="1"/>
  <c r="S19" i="6"/>
  <c r="S20" i="6" s="1"/>
  <c r="R19" i="6"/>
  <c r="R20" i="6" s="1"/>
  <c r="Q19" i="6"/>
  <c r="P19" i="6"/>
  <c r="O19" i="6"/>
  <c r="N19" i="6"/>
  <c r="M19" i="6"/>
  <c r="M20" i="6" s="1"/>
  <c r="L19" i="6"/>
  <c r="L20" i="6" s="1"/>
  <c r="K19" i="6"/>
  <c r="K20" i="6" s="1"/>
  <c r="J19" i="6"/>
  <c r="J20" i="6" s="1"/>
  <c r="I19" i="6"/>
  <c r="H19" i="6"/>
  <c r="G19" i="6"/>
  <c r="F19" i="6"/>
  <c r="F20" i="6" s="1"/>
  <c r="E19" i="6"/>
  <c r="E20" i="6" s="1"/>
  <c r="E16" i="6" s="1"/>
  <c r="D19" i="6"/>
  <c r="D20" i="6" s="1"/>
  <c r="C19" i="6"/>
  <c r="BC18" i="6"/>
  <c r="BB18" i="6"/>
  <c r="BA18" i="6"/>
  <c r="BD17" i="6"/>
  <c r="BD18" i="6" s="1"/>
  <c r="AQ17" i="6"/>
  <c r="AR17" i="6" s="1"/>
  <c r="AS17" i="6" s="1"/>
  <c r="AT17" i="6" s="1"/>
  <c r="AU17" i="6" s="1"/>
  <c r="AV17" i="6" s="1"/>
  <c r="AW17" i="6" s="1"/>
  <c r="AX17" i="6" s="1"/>
  <c r="AM17" i="6"/>
  <c r="AN17" i="6" s="1"/>
  <c r="AO17" i="6" s="1"/>
  <c r="AH17" i="6"/>
  <c r="AI17" i="6" s="1"/>
  <c r="AJ17" i="6" s="1"/>
  <c r="AK17" i="6" s="1"/>
  <c r="AL17" i="6" s="1"/>
  <c r="AG17" i="6"/>
  <c r="AF17" i="6"/>
  <c r="AE17" i="6"/>
  <c r="AD17" i="6"/>
  <c r="T17" i="6"/>
  <c r="U17" i="6" s="1"/>
  <c r="V17" i="6" s="1"/>
  <c r="W17" i="6" s="1"/>
  <c r="X17" i="6" s="1"/>
  <c r="Y17" i="6" s="1"/>
  <c r="Z17" i="6" s="1"/>
  <c r="AA17" i="6" s="1"/>
  <c r="AB17" i="6" s="1"/>
  <c r="P17" i="6"/>
  <c r="Q17" i="6" s="1"/>
  <c r="R17" i="6" s="1"/>
  <c r="N17" i="6"/>
  <c r="O17" i="6" s="1"/>
  <c r="M17" i="6"/>
  <c r="H17" i="6"/>
  <c r="I17" i="6" s="1"/>
  <c r="J17" i="6" s="1"/>
  <c r="K17" i="6" s="1"/>
  <c r="L17" i="6" s="1"/>
  <c r="F17" i="6"/>
  <c r="E17" i="6"/>
  <c r="D17" i="6"/>
  <c r="C17" i="6" s="1"/>
  <c r="D16" i="6"/>
  <c r="D15" i="6"/>
  <c r="C15" i="6"/>
  <c r="BC5" i="6"/>
  <c r="BB5" i="6"/>
  <c r="BD4" i="6"/>
  <c r="BC4" i="6"/>
  <c r="BB4" i="6"/>
  <c r="AQ4" i="6"/>
  <c r="AR4" i="6" s="1"/>
  <c r="AS4" i="6" s="1"/>
  <c r="AT4" i="6" s="1"/>
  <c r="AU4" i="6" s="1"/>
  <c r="AV4" i="6" s="1"/>
  <c r="AW4" i="6" s="1"/>
  <c r="AX4" i="6" s="1"/>
  <c r="AM4" i="6"/>
  <c r="AN4" i="6" s="1"/>
  <c r="AO4" i="6" s="1"/>
  <c r="AE4" i="6"/>
  <c r="AF4" i="6" s="1"/>
  <c r="AG4" i="6" s="1"/>
  <c r="AH4" i="6" s="1"/>
  <c r="AI4" i="6" s="1"/>
  <c r="AJ4" i="6" s="1"/>
  <c r="AK4" i="6" s="1"/>
  <c r="AL4" i="6" s="1"/>
  <c r="AD4" i="6"/>
  <c r="V4" i="6"/>
  <c r="W4" i="6" s="1"/>
  <c r="X4" i="6" s="1"/>
  <c r="Y4" i="6" s="1"/>
  <c r="Z4" i="6" s="1"/>
  <c r="AA4" i="6" s="1"/>
  <c r="AB4" i="6" s="1"/>
  <c r="U4" i="6"/>
  <c r="T4" i="6"/>
  <c r="J4" i="6"/>
  <c r="K4" i="6" s="1"/>
  <c r="L4" i="6" s="1"/>
  <c r="M4" i="6" s="1"/>
  <c r="N4" i="6" s="1"/>
  <c r="O4" i="6" s="1"/>
  <c r="P4" i="6" s="1"/>
  <c r="Q4" i="6" s="1"/>
  <c r="R4" i="6" s="1"/>
  <c r="H4" i="6"/>
  <c r="I4" i="6" s="1"/>
  <c r="F4" i="6"/>
  <c r="E4" i="6" s="1"/>
  <c r="D4" i="6"/>
  <c r="C4" i="6" s="1"/>
  <c r="D3" i="6"/>
  <c r="C3" i="6"/>
  <c r="BE23" i="5"/>
  <c r="BD23" i="5"/>
  <c r="BC23" i="5"/>
  <c r="BB23" i="5"/>
  <c r="BA23" i="5"/>
  <c r="K23" i="5"/>
  <c r="D21" i="5"/>
  <c r="D23" i="5" s="1"/>
  <c r="D16" i="5" s="1"/>
  <c r="BD20" i="5"/>
  <c r="BC20" i="5"/>
  <c r="BB4" i="5" s="1"/>
  <c r="BB20" i="5"/>
  <c r="AV20" i="5"/>
  <c r="AU20" i="5"/>
  <c r="AU21" i="5" s="1"/>
  <c r="AU23" i="5" s="1"/>
  <c r="AT20" i="5"/>
  <c r="AO20" i="5"/>
  <c r="AL20" i="5"/>
  <c r="AK20" i="5"/>
  <c r="AL21" i="5" s="1"/>
  <c r="AL23" i="5" s="1"/>
  <c r="AJ20" i="5"/>
  <c r="AE20" i="5"/>
  <c r="Z20" i="5"/>
  <c r="AA21" i="5" s="1"/>
  <c r="AA23" i="5" s="1"/>
  <c r="W20" i="5"/>
  <c r="V20" i="5"/>
  <c r="R20" i="5"/>
  <c r="M20" i="5"/>
  <c r="N21" i="5" s="1"/>
  <c r="N23" i="5" s="1"/>
  <c r="J20" i="5"/>
  <c r="K21" i="5" s="1"/>
  <c r="I20" i="5"/>
  <c r="H20" i="5"/>
  <c r="C20" i="5"/>
  <c r="AW18" i="5"/>
  <c r="AV18" i="5"/>
  <c r="AU18" i="5"/>
  <c r="AP18" i="5"/>
  <c r="AP20" i="5" s="1"/>
  <c r="AM18" i="5"/>
  <c r="AN18" i="5" s="1"/>
  <c r="AN20" i="5" s="1"/>
  <c r="AO21" i="5" s="1"/>
  <c r="AO23" i="5" s="1"/>
  <c r="AL18" i="5"/>
  <c r="AK18" i="5"/>
  <c r="AF18" i="5"/>
  <c r="AC18" i="5"/>
  <c r="AB18" i="5"/>
  <c r="AB20" i="5" s="1"/>
  <c r="AA18" i="5"/>
  <c r="AA20" i="5" s="1"/>
  <c r="AB21" i="5" s="1"/>
  <c r="AB23" i="5" s="1"/>
  <c r="W18" i="5"/>
  <c r="X18" i="5" s="1"/>
  <c r="Y18" i="5" s="1"/>
  <c r="Y20" i="5" s="1"/>
  <c r="Z21" i="5" s="1"/>
  <c r="Z23" i="5" s="1"/>
  <c r="S18" i="5"/>
  <c r="O18" i="5"/>
  <c r="N18" i="5"/>
  <c r="N20" i="5" s="1"/>
  <c r="L18" i="5"/>
  <c r="L20" i="5" s="1"/>
  <c r="K18" i="5"/>
  <c r="K20" i="5" s="1"/>
  <c r="L21" i="5" s="1"/>
  <c r="L23" i="5" s="1"/>
  <c r="I18" i="5"/>
  <c r="J18" i="5" s="1"/>
  <c r="D18" i="5"/>
  <c r="D20" i="5" s="1"/>
  <c r="BD5" i="5"/>
  <c r="BC5" i="5"/>
  <c r="BB5" i="5"/>
  <c r="BA5" i="5"/>
  <c r="BC4" i="5"/>
  <c r="BE18" i="5" s="1"/>
  <c r="BE20" i="5" s="1"/>
  <c r="BD4" i="5" s="1"/>
  <c r="BA4" i="5"/>
  <c r="E34" i="4"/>
  <c r="D34" i="4"/>
  <c r="G33" i="4"/>
  <c r="H33" i="4" s="1"/>
  <c r="F33" i="4"/>
  <c r="F34" i="4" s="1"/>
  <c r="BN32" i="4"/>
  <c r="BM32" i="4"/>
  <c r="BL32" i="4"/>
  <c r="BK32" i="4"/>
  <c r="BJ32" i="4"/>
  <c r="BI32" i="4"/>
  <c r="BH32" i="4"/>
  <c r="BG32" i="4"/>
  <c r="BF32" i="4"/>
  <c r="BE32" i="4"/>
  <c r="BD32" i="4"/>
  <c r="BC32" i="4"/>
  <c r="BB32" i="4"/>
  <c r="BA32" i="4"/>
  <c r="AZ32" i="4"/>
  <c r="AY32" i="4"/>
  <c r="AX32" i="4"/>
  <c r="AW32" i="4"/>
  <c r="AV32" i="4"/>
  <c r="AU32" i="4"/>
  <c r="AT32" i="4"/>
  <c r="AS32" i="4"/>
  <c r="AR32" i="4"/>
  <c r="P30" i="4"/>
  <c r="Q30" i="4" s="1"/>
  <c r="R30" i="4" s="1"/>
  <c r="S30" i="4" s="1"/>
  <c r="T30" i="4" s="1"/>
  <c r="U30" i="4" s="1"/>
  <c r="V30" i="4" s="1"/>
  <c r="W30" i="4" s="1"/>
  <c r="X30" i="4" s="1"/>
  <c r="Y30" i="4" s="1"/>
  <c r="Z30" i="4" s="1"/>
  <c r="AA30" i="4" s="1"/>
  <c r="AB30" i="4" s="1"/>
  <c r="AC30" i="4" s="1"/>
  <c r="AD30" i="4" s="1"/>
  <c r="AE30" i="4" s="1"/>
  <c r="AF30" i="4" s="1"/>
  <c r="AG30" i="4" s="1"/>
  <c r="AH30" i="4" s="1"/>
  <c r="AI30" i="4" s="1"/>
  <c r="AJ30" i="4" s="1"/>
  <c r="AK30" i="4" s="1"/>
  <c r="AL30" i="4" s="1"/>
  <c r="AM30" i="4" s="1"/>
  <c r="AN30" i="4" s="1"/>
  <c r="AO30" i="4" s="1"/>
  <c r="AP30" i="4" s="1"/>
  <c r="AQ30" i="4" s="1"/>
  <c r="AR30" i="4" s="1"/>
  <c r="E30" i="4"/>
  <c r="F30" i="4" s="1"/>
  <c r="G30" i="4" s="1"/>
  <c r="H30" i="4" s="1"/>
  <c r="I30" i="4" s="1"/>
  <c r="J30" i="4" s="1"/>
  <c r="K30" i="4" s="1"/>
  <c r="L30" i="4" s="1"/>
  <c r="M30" i="4" s="1"/>
  <c r="N30" i="4" s="1"/>
  <c r="O30" i="4" s="1"/>
  <c r="D26" i="4"/>
  <c r="E26" i="4" s="1"/>
  <c r="F26" i="4" s="1"/>
  <c r="BD5" i="4"/>
  <c r="BC5" i="4"/>
  <c r="BB5" i="4"/>
  <c r="BD4" i="4"/>
  <c r="BC4" i="4"/>
  <c r="BB4" i="4"/>
  <c r="BA4" i="4"/>
  <c r="AZ4" i="4"/>
  <c r="AY4" i="4"/>
  <c r="AX4" i="4"/>
  <c r="AW4" i="4"/>
  <c r="AV4" i="4"/>
  <c r="AU4" i="4"/>
  <c r="AT4" i="4"/>
  <c r="AS4" i="4"/>
  <c r="AR4" i="4"/>
  <c r="AQ4" i="4"/>
  <c r="AP4" i="4"/>
  <c r="AO4" i="4"/>
  <c r="AN4" i="4"/>
  <c r="AM4" i="4"/>
  <c r="AL4" i="4"/>
  <c r="AK4" i="4"/>
  <c r="AJ4" i="4"/>
  <c r="AI4" i="4"/>
  <c r="AH4" i="4"/>
  <c r="AG4" i="4"/>
  <c r="AF4" i="4"/>
  <c r="AE4" i="4"/>
  <c r="AD4" i="4"/>
  <c r="AC4" i="4"/>
  <c r="AB4" i="4"/>
  <c r="AA4" i="4"/>
  <c r="Z4" i="4"/>
  <c r="Y4" i="4"/>
  <c r="X4" i="4"/>
  <c r="W4" i="4"/>
  <c r="V4" i="4"/>
  <c r="U4" i="4"/>
  <c r="T4" i="4"/>
  <c r="S4" i="4"/>
  <c r="R4" i="4"/>
  <c r="Q4" i="4"/>
  <c r="P4" i="4"/>
  <c r="O4" i="4"/>
  <c r="N4" i="4"/>
  <c r="M4" i="4"/>
  <c r="L4" i="4"/>
  <c r="K4" i="4"/>
  <c r="J4" i="4"/>
  <c r="I4" i="4"/>
  <c r="H4" i="4"/>
  <c r="G4" i="4"/>
  <c r="F4" i="4"/>
  <c r="E4" i="4"/>
  <c r="D4" i="4"/>
  <c r="C4" i="4"/>
  <c r="P17" i="3"/>
  <c r="Q17" i="3" s="1"/>
  <c r="N17" i="3"/>
  <c r="N14" i="3" s="1"/>
  <c r="M17" i="3"/>
  <c r="L17" i="3" s="1"/>
  <c r="AR16" i="3"/>
  <c r="AS16" i="3" s="1"/>
  <c r="AT16" i="3" s="1"/>
  <c r="AU16" i="3" s="1"/>
  <c r="AV16" i="3" s="1"/>
  <c r="AW16" i="3" s="1"/>
  <c r="AX16" i="3" s="1"/>
  <c r="AY16" i="3" s="1"/>
  <c r="AZ16" i="3" s="1"/>
  <c r="BA16" i="3" s="1"/>
  <c r="BB16" i="3" s="1"/>
  <c r="BC16" i="3" s="1"/>
  <c r="BD16" i="3" s="1"/>
  <c r="AH16" i="3"/>
  <c r="AI16" i="3" s="1"/>
  <c r="AJ16" i="3" s="1"/>
  <c r="AK16" i="3" s="1"/>
  <c r="AL16" i="3" s="1"/>
  <c r="AM16" i="3" s="1"/>
  <c r="AN16" i="3" s="1"/>
  <c r="AO16" i="3" s="1"/>
  <c r="AP16" i="3" s="1"/>
  <c r="Y16" i="3"/>
  <c r="Z16" i="3" s="1"/>
  <c r="AA16" i="3" s="1"/>
  <c r="AB16" i="3" s="1"/>
  <c r="AC16" i="3" s="1"/>
  <c r="AD16" i="3" s="1"/>
  <c r="AE16" i="3" s="1"/>
  <c r="AF16" i="3" s="1"/>
  <c r="X16" i="3"/>
  <c r="P16" i="3"/>
  <c r="Q16" i="3" s="1"/>
  <c r="R16" i="3" s="1"/>
  <c r="S16" i="3" s="1"/>
  <c r="T16" i="3" s="1"/>
  <c r="U16" i="3" s="1"/>
  <c r="V16" i="3" s="1"/>
  <c r="O16" i="3"/>
  <c r="N16" i="3"/>
  <c r="G16" i="3"/>
  <c r="H16" i="3" s="1"/>
  <c r="I16" i="3" s="1"/>
  <c r="J16" i="3" s="1"/>
  <c r="K16" i="3" s="1"/>
  <c r="L16" i="3" s="1"/>
  <c r="F16" i="3"/>
  <c r="E16" i="3"/>
  <c r="D16" i="3"/>
  <c r="AR15" i="3"/>
  <c r="AS15" i="3" s="1"/>
  <c r="AT15" i="3" s="1"/>
  <c r="AU15" i="3" s="1"/>
  <c r="AV15" i="3" s="1"/>
  <c r="AW15" i="3" s="1"/>
  <c r="AX15" i="3" s="1"/>
  <c r="AY15" i="3" s="1"/>
  <c r="AZ15" i="3" s="1"/>
  <c r="BA15" i="3" s="1"/>
  <c r="BB15" i="3" s="1"/>
  <c r="BC15" i="3" s="1"/>
  <c r="BD15" i="3" s="1"/>
  <c r="AI15" i="3"/>
  <c r="AJ15" i="3" s="1"/>
  <c r="AK15" i="3" s="1"/>
  <c r="AL15" i="3" s="1"/>
  <c r="AM15" i="3" s="1"/>
  <c r="AN15" i="3" s="1"/>
  <c r="AO15" i="3" s="1"/>
  <c r="AP15" i="3" s="1"/>
  <c r="AH15" i="3"/>
  <c r="Z15" i="3"/>
  <c r="AA15" i="3" s="1"/>
  <c r="AB15" i="3" s="1"/>
  <c r="AC15" i="3" s="1"/>
  <c r="AD15" i="3" s="1"/>
  <c r="AE15" i="3" s="1"/>
  <c r="AF15" i="3" s="1"/>
  <c r="Y15" i="3"/>
  <c r="X15" i="3"/>
  <c r="Q15" i="3"/>
  <c r="R15" i="3" s="1"/>
  <c r="S15" i="3" s="1"/>
  <c r="T15" i="3" s="1"/>
  <c r="U15" i="3" s="1"/>
  <c r="V15" i="3" s="1"/>
  <c r="P15" i="3"/>
  <c r="O15" i="3"/>
  <c r="N15" i="3"/>
  <c r="I15" i="3"/>
  <c r="J15" i="3" s="1"/>
  <c r="K15" i="3" s="1"/>
  <c r="L15" i="3" s="1"/>
  <c r="H15" i="3"/>
  <c r="G15" i="3"/>
  <c r="F15" i="3"/>
  <c r="E15" i="3"/>
  <c r="D15" i="3"/>
  <c r="O14" i="3"/>
  <c r="AY21" i="2"/>
  <c r="AY20" i="2"/>
  <c r="AY17" i="2"/>
  <c r="AY22" i="2" s="1"/>
  <c r="M13" i="2" s="1"/>
  <c r="U15" i="2"/>
  <c r="V15" i="2" s="1"/>
  <c r="T15" i="2"/>
  <c r="S15" i="2"/>
  <c r="R15" i="2"/>
  <c r="Q15" i="2" s="1"/>
  <c r="P15" i="2" s="1"/>
  <c r="O15" i="2" s="1"/>
  <c r="N15" i="2" s="1"/>
  <c r="M15" i="2" s="1"/>
  <c r="L15" i="2" s="1"/>
  <c r="K15" i="2" s="1"/>
  <c r="J15" i="2" s="1"/>
  <c r="I15" i="2" s="1"/>
  <c r="H15" i="2" s="1"/>
  <c r="G15" i="2" s="1"/>
  <c r="F15" i="2" s="1"/>
  <c r="E15" i="2" s="1"/>
  <c r="D15" i="2" s="1"/>
  <c r="C15" i="2" s="1"/>
  <c r="L13" i="2"/>
  <c r="L12" i="2" s="1"/>
  <c r="BD4" i="2"/>
  <c r="BC4" i="2"/>
  <c r="BD16" i="1"/>
  <c r="BD12" i="1" s="1"/>
  <c r="BD3" i="1" s="1"/>
  <c r="BC16" i="1"/>
  <c r="BC12" i="1" s="1"/>
  <c r="BC3" i="1" s="1"/>
  <c r="BB16" i="1"/>
  <c r="BA16" i="1"/>
  <c r="AZ16" i="1"/>
  <c r="AY16" i="1"/>
  <c r="AX16" i="1"/>
  <c r="AW16" i="1"/>
  <c r="AV16" i="1"/>
  <c r="AV12" i="1" s="1"/>
  <c r="AU16" i="1"/>
  <c r="AU12" i="1" s="1"/>
  <c r="AT16" i="1"/>
  <c r="AT12" i="1" s="1"/>
  <c r="AS16" i="1"/>
  <c r="AS12" i="1" s="1"/>
  <c r="AR16" i="1"/>
  <c r="AQ16" i="1"/>
  <c r="AP16" i="1"/>
  <c r="AO16" i="1"/>
  <c r="AN16" i="1"/>
  <c r="AN12" i="1" s="1"/>
  <c r="AM16" i="1"/>
  <c r="AM12" i="1" s="1"/>
  <c r="AL16" i="1"/>
  <c r="AL12" i="1" s="1"/>
  <c r="AK16" i="1"/>
  <c r="Q15" i="1"/>
  <c r="P15" i="1" s="1"/>
  <c r="O15" i="1" s="1"/>
  <c r="N15" i="1" s="1"/>
  <c r="M15" i="1"/>
  <c r="L15" i="1"/>
  <c r="K15" i="1" s="1"/>
  <c r="J15" i="1" s="1"/>
  <c r="I15" i="1" s="1"/>
  <c r="H15" i="1" s="1"/>
  <c r="G15" i="1" s="1"/>
  <c r="F15" i="1" s="1"/>
  <c r="E15" i="1" s="1"/>
  <c r="D15" i="1" s="1"/>
  <c r="C15" i="1" s="1"/>
  <c r="AZ12" i="1"/>
  <c r="AY12" i="1"/>
  <c r="AX12" i="1"/>
  <c r="AW12" i="1"/>
  <c r="AR12" i="1"/>
  <c r="AQ12" i="1"/>
  <c r="AP12" i="1"/>
  <c r="AO12" i="1"/>
  <c r="BD4" i="1"/>
  <c r="D12" i="8" l="1"/>
  <c r="L12" i="8"/>
  <c r="T12" i="8"/>
  <c r="AB12" i="8"/>
  <c r="AJ12" i="8"/>
  <c r="AR12" i="8"/>
  <c r="AR3" i="8" s="1"/>
  <c r="AZ12" i="8"/>
  <c r="AZ3" i="8" s="1"/>
  <c r="BC12" i="8"/>
  <c r="BC3" i="8" s="1"/>
  <c r="E12" i="8"/>
  <c r="M12" i="8"/>
  <c r="AC12" i="8"/>
  <c r="AS12" i="8"/>
  <c r="AS3" i="8" s="1"/>
  <c r="K13" i="2"/>
  <c r="AW21" i="5"/>
  <c r="AW23" i="5" s="1"/>
  <c r="AJ8" i="7"/>
  <c r="AJ21" i="7"/>
  <c r="AJ3" i="7" s="1"/>
  <c r="AI31" i="7"/>
  <c r="AJ31" i="7" s="1"/>
  <c r="AK31" i="7" s="1"/>
  <c r="AL31" i="7" s="1"/>
  <c r="AM31" i="7" s="1"/>
  <c r="AN31" i="7" s="1"/>
  <c r="AO31" i="7" s="1"/>
  <c r="AP31" i="7" s="1"/>
  <c r="AQ31" i="7" s="1"/>
  <c r="AR31" i="7" s="1"/>
  <c r="AS31" i="7" s="1"/>
  <c r="AT31" i="7" s="1"/>
  <c r="AV31" i="7" s="1"/>
  <c r="AW31" i="7" s="1"/>
  <c r="AX31" i="7" s="1"/>
  <c r="AY31" i="7" s="1"/>
  <c r="AZ31" i="7" s="1"/>
  <c r="BA31" i="7" s="1"/>
  <c r="BB31" i="7" s="1"/>
  <c r="BC31" i="7" s="1"/>
  <c r="BD31" i="7" s="1"/>
  <c r="AH21" i="7"/>
  <c r="AH3" i="7" s="1"/>
  <c r="AF20" i="5"/>
  <c r="AG18" i="5"/>
  <c r="K17" i="3"/>
  <c r="L14" i="3"/>
  <c r="M14" i="3"/>
  <c r="W21" i="5"/>
  <c r="W23" i="5" s="1"/>
  <c r="BB4" i="1"/>
  <c r="BB12" i="1"/>
  <c r="BB3" i="1" s="1"/>
  <c r="M12" i="2"/>
  <c r="N13" i="2"/>
  <c r="R17" i="3"/>
  <c r="Q14" i="3"/>
  <c r="S20" i="5"/>
  <c r="T18" i="5"/>
  <c r="X20" i="5"/>
  <c r="Y21" i="5" s="1"/>
  <c r="Y23" i="5" s="1"/>
  <c r="M8" i="9"/>
  <c r="M21" i="9"/>
  <c r="M3" i="9" s="1"/>
  <c r="AC8" i="9"/>
  <c r="AC21" i="9"/>
  <c r="AC3" i="9" s="1"/>
  <c r="AS8" i="9"/>
  <c r="AS21" i="9"/>
  <c r="AS3" i="9" s="1"/>
  <c r="AU8" i="9"/>
  <c r="AK12" i="1"/>
  <c r="AJ16" i="1"/>
  <c r="BA21" i="7"/>
  <c r="BA3" i="7" s="1"/>
  <c r="BA8" i="7"/>
  <c r="E7" i="9"/>
  <c r="E21" i="9"/>
  <c r="E3" i="9" s="1"/>
  <c r="U7" i="9"/>
  <c r="U21" i="9"/>
  <c r="U3" i="9" s="1"/>
  <c r="AK7" i="9"/>
  <c r="AK21" i="9"/>
  <c r="AK3" i="9" s="1"/>
  <c r="G26" i="4"/>
  <c r="H26" i="4" s="1"/>
  <c r="AD18" i="5"/>
  <c r="AD20" i="5" s="1"/>
  <c r="AE21" i="5" s="1"/>
  <c r="AE23" i="5" s="1"/>
  <c r="AC20" i="5"/>
  <c r="O21" i="5"/>
  <c r="O23" i="5" s="1"/>
  <c r="E15" i="6"/>
  <c r="E3" i="6" s="1"/>
  <c r="F16" i="6"/>
  <c r="BA4" i="1"/>
  <c r="BA12" i="1"/>
  <c r="BA3" i="1" s="1"/>
  <c r="P18" i="5"/>
  <c r="O20" i="5"/>
  <c r="AQ18" i="5"/>
  <c r="AV21" i="5"/>
  <c r="AV23" i="5" s="1"/>
  <c r="O21" i="9"/>
  <c r="O3" i="9" s="1"/>
  <c r="O8" i="9"/>
  <c r="BC4" i="1"/>
  <c r="I33" i="4"/>
  <c r="H34" i="4"/>
  <c r="G34" i="4"/>
  <c r="J21" i="5"/>
  <c r="J23" i="5" s="1"/>
  <c r="AK21" i="5"/>
  <c r="AK23" i="5" s="1"/>
  <c r="Q21" i="7"/>
  <c r="Q3" i="7" s="1"/>
  <c r="I30" i="7"/>
  <c r="I4" i="7"/>
  <c r="Y30" i="7"/>
  <c r="Y4" i="7"/>
  <c r="AG30" i="7"/>
  <c r="AG4" i="7"/>
  <c r="AO8" i="7"/>
  <c r="AO21" i="7"/>
  <c r="AO3" i="7" s="1"/>
  <c r="AW30" i="7"/>
  <c r="AW4" i="7"/>
  <c r="J30" i="7"/>
  <c r="J5" i="7"/>
  <c r="Z30" i="7"/>
  <c r="Z5" i="7"/>
  <c r="AP30" i="7"/>
  <c r="AP5" i="7"/>
  <c r="AX5" i="7"/>
  <c r="AX30" i="7"/>
  <c r="C6" i="7"/>
  <c r="C30" i="7"/>
  <c r="K30" i="7"/>
  <c r="K6" i="7"/>
  <c r="S6" i="7"/>
  <c r="S30" i="7"/>
  <c r="AA8" i="7"/>
  <c r="AA21" i="7"/>
  <c r="AA3" i="7" s="1"/>
  <c r="AQ30" i="7"/>
  <c r="AQ6" i="7"/>
  <c r="AY6" i="7"/>
  <c r="AY30" i="7"/>
  <c r="L8" i="7"/>
  <c r="L21" i="7"/>
  <c r="L3" i="7" s="1"/>
  <c r="T7" i="7"/>
  <c r="T30" i="7"/>
  <c r="AB8" i="7"/>
  <c r="AB21" i="7"/>
  <c r="AB3" i="7" s="1"/>
  <c r="AR30" i="7"/>
  <c r="AR7" i="7"/>
  <c r="AZ8" i="7"/>
  <c r="AZ21" i="7"/>
  <c r="AZ3" i="7" s="1"/>
  <c r="AM20" i="5"/>
  <c r="BD20" i="6"/>
  <c r="BD5" i="6"/>
  <c r="AA6" i="7"/>
  <c r="AI30" i="7"/>
  <c r="AX8" i="9"/>
  <c r="E18" i="5"/>
  <c r="BA5" i="4"/>
  <c r="S21" i="5"/>
  <c r="S23" i="5" s="1"/>
  <c r="AF21" i="5"/>
  <c r="AF23" i="5" s="1"/>
  <c r="BA20" i="6"/>
  <c r="D30" i="7"/>
  <c r="AE21" i="9"/>
  <c r="AE3" i="9" s="1"/>
  <c r="AE8" i="9"/>
  <c r="P14" i="3"/>
  <c r="P34" i="9"/>
  <c r="P35" i="9" s="1"/>
  <c r="P7" i="9" s="1"/>
  <c r="AH21" i="9"/>
  <c r="AH3" i="9" s="1"/>
  <c r="AH8" i="9"/>
  <c r="M21" i="5"/>
  <c r="M23" i="5" s="1"/>
  <c r="AW20" i="5"/>
  <c r="AX18" i="5"/>
  <c r="I21" i="5"/>
  <c r="I23" i="5" s="1"/>
  <c r="AP21" i="5"/>
  <c r="AP23" i="5" s="1"/>
  <c r="H30" i="7"/>
  <c r="H4" i="7"/>
  <c r="P30" i="7"/>
  <c r="P4" i="7"/>
  <c r="X30" i="7"/>
  <c r="X4" i="7"/>
  <c r="AF30" i="7"/>
  <c r="AF4" i="7"/>
  <c r="AN30" i="7"/>
  <c r="AN4" i="7"/>
  <c r="AV30" i="7"/>
  <c r="AV4" i="7"/>
  <c r="BD30" i="7"/>
  <c r="BD4" i="7"/>
  <c r="E21" i="7"/>
  <c r="E3" i="7" s="1"/>
  <c r="E8" i="7"/>
  <c r="AK21" i="7"/>
  <c r="AK3" i="7" s="1"/>
  <c r="AK8" i="7"/>
  <c r="H21" i="9"/>
  <c r="H3" i="9" s="1"/>
  <c r="C34" i="9"/>
  <c r="C35" i="9" s="1"/>
  <c r="C7" i="9" s="1"/>
  <c r="AD34" i="9"/>
  <c r="AD35" i="9" s="1"/>
  <c r="AD7" i="9" s="1"/>
  <c r="G30" i="7"/>
  <c r="G4" i="7"/>
  <c r="O30" i="7"/>
  <c r="O4" i="7"/>
  <c r="W30" i="7"/>
  <c r="W4" i="7"/>
  <c r="AE30" i="7"/>
  <c r="AE4" i="7"/>
  <c r="AM30" i="7"/>
  <c r="AM4" i="7"/>
  <c r="AU30" i="7"/>
  <c r="AU4" i="7"/>
  <c r="BC30" i="7"/>
  <c r="BC4" i="7"/>
  <c r="AA34" i="9"/>
  <c r="AA35" i="9" s="1"/>
  <c r="BF33" i="9"/>
  <c r="F30" i="7"/>
  <c r="F4" i="7"/>
  <c r="N30" i="7"/>
  <c r="N4" i="7"/>
  <c r="V30" i="7"/>
  <c r="V4" i="7"/>
  <c r="AD30" i="7"/>
  <c r="AD4" i="7"/>
  <c r="AL30" i="7"/>
  <c r="AL4" i="7"/>
  <c r="AT30" i="7"/>
  <c r="AT4" i="7"/>
  <c r="BB30" i="7"/>
  <c r="BB4" i="7"/>
  <c r="U21" i="7"/>
  <c r="U3" i="7" s="1"/>
  <c r="U8" i="7"/>
  <c r="S34" i="9"/>
  <c r="S35" i="9" s="1"/>
  <c r="S7" i="9" s="1"/>
  <c r="AY34" i="9"/>
  <c r="AY35" i="9" s="1"/>
  <c r="AY7" i="9" s="1"/>
  <c r="X7" i="9"/>
  <c r="X21" i="9"/>
  <c r="X3" i="9" s="1"/>
  <c r="M21" i="7"/>
  <c r="M3" i="7" s="1"/>
  <c r="M8" i="7"/>
  <c r="AC21" i="7"/>
  <c r="AC3" i="7" s="1"/>
  <c r="AC8" i="7"/>
  <c r="AS21" i="7"/>
  <c r="AS3" i="7" s="1"/>
  <c r="AS8" i="7"/>
  <c r="AU34" i="9"/>
  <c r="AU35" i="9" s="1"/>
  <c r="AU7" i="9" s="1"/>
  <c r="S21" i="9"/>
  <c r="S3" i="9" s="1"/>
  <c r="AI21" i="9"/>
  <c r="AI3" i="9" s="1"/>
  <c r="F8" i="9"/>
  <c r="F21" i="9"/>
  <c r="F3" i="9" s="1"/>
  <c r="BF31" i="9"/>
  <c r="AN34" i="9"/>
  <c r="AN35" i="9" s="1"/>
  <c r="P8" i="9"/>
  <c r="AF8" i="9"/>
  <c r="AF21" i="9"/>
  <c r="AF3" i="9" s="1"/>
  <c r="AV8" i="9"/>
  <c r="AV21" i="9"/>
  <c r="AV3" i="9" s="1"/>
  <c r="R21" i="9"/>
  <c r="R3" i="9" s="1"/>
  <c r="BB8" i="9"/>
  <c r="BB21" i="9"/>
  <c r="BB3" i="9" s="1"/>
  <c r="K34" i="9"/>
  <c r="K35" i="9" s="1"/>
  <c r="AQ34" i="9"/>
  <c r="AQ35" i="9" s="1"/>
  <c r="I8" i="9"/>
  <c r="Q8" i="9"/>
  <c r="Q21" i="9"/>
  <c r="Q3" i="9" s="1"/>
  <c r="Y8" i="9"/>
  <c r="AG8" i="9"/>
  <c r="AO8" i="9"/>
  <c r="AW8" i="9"/>
  <c r="AW21" i="9"/>
  <c r="AW3" i="9" s="1"/>
  <c r="AL8" i="9"/>
  <c r="AL21" i="9"/>
  <c r="AL3" i="9" s="1"/>
  <c r="BF30" i="9"/>
  <c r="V8" i="9"/>
  <c r="V21" i="9"/>
  <c r="V3" i="9" s="1"/>
  <c r="AW12" i="8"/>
  <c r="AW3" i="8" s="1"/>
  <c r="C12" i="8"/>
  <c r="K12" i="8"/>
  <c r="S12" i="8"/>
  <c r="AA12" i="8"/>
  <c r="AI12" i="8"/>
  <c r="AQ12" i="8"/>
  <c r="AQ3" i="8" s="1"/>
  <c r="AY12" i="8"/>
  <c r="AY3" i="8" s="1"/>
  <c r="D34" i="9"/>
  <c r="D35" i="9" s="1"/>
  <c r="L34" i="9"/>
  <c r="L35" i="9" s="1"/>
  <c r="T34" i="9"/>
  <c r="T35" i="9" s="1"/>
  <c r="AB34" i="9"/>
  <c r="AB35" i="9" s="1"/>
  <c r="AJ34" i="9"/>
  <c r="AJ35" i="9" s="1"/>
  <c r="AR34" i="9"/>
  <c r="AR35" i="9" s="1"/>
  <c r="AZ34" i="9"/>
  <c r="AZ35" i="9" s="1"/>
  <c r="N8" i="9"/>
  <c r="N21" i="9"/>
  <c r="N3" i="9" s="1"/>
  <c r="AD8" i="9"/>
  <c r="AD21" i="9"/>
  <c r="AD3" i="9" s="1"/>
  <c r="AT8" i="9"/>
  <c r="AT21" i="9"/>
  <c r="AT3" i="9" s="1"/>
  <c r="AV12" i="8"/>
  <c r="AV3" i="8" s="1"/>
  <c r="BD12" i="8"/>
  <c r="BD3" i="8" s="1"/>
  <c r="BF29" i="9"/>
  <c r="I34" i="9"/>
  <c r="I35" i="9" s="1"/>
  <c r="I7" i="9" s="1"/>
  <c r="Q34" i="9"/>
  <c r="Q35" i="9" s="1"/>
  <c r="Q7" i="9" s="1"/>
  <c r="Y34" i="9"/>
  <c r="Y35" i="9" s="1"/>
  <c r="Y7" i="9" s="1"/>
  <c r="AG34" i="9"/>
  <c r="AG35" i="9" s="1"/>
  <c r="AG7" i="9" s="1"/>
  <c r="AO34" i="9"/>
  <c r="AO35" i="9" s="1"/>
  <c r="AO7" i="9" s="1"/>
  <c r="AW34" i="9"/>
  <c r="AW35" i="9" s="1"/>
  <c r="AW7" i="9" s="1"/>
  <c r="BE34" i="9"/>
  <c r="BE35" i="9" s="1"/>
  <c r="BD32" i="9"/>
  <c r="BF32" i="9" s="1"/>
  <c r="G21" i="9"/>
  <c r="G3" i="9" s="1"/>
  <c r="W21" i="9"/>
  <c r="W3" i="9" s="1"/>
  <c r="AM21" i="9"/>
  <c r="AM3" i="9" s="1"/>
  <c r="BC21" i="9"/>
  <c r="BF28" i="9"/>
  <c r="J34" i="9"/>
  <c r="J35" i="9" s="1"/>
  <c r="J7" i="9" s="1"/>
  <c r="R34" i="9"/>
  <c r="R35" i="9" s="1"/>
  <c r="R7" i="9" s="1"/>
  <c r="Z34" i="9"/>
  <c r="Z35" i="9" s="1"/>
  <c r="Z7" i="9" s="1"/>
  <c r="AH34" i="9"/>
  <c r="AH35" i="9" s="1"/>
  <c r="AH7" i="9" s="1"/>
  <c r="AP34" i="9"/>
  <c r="AP35" i="9" s="1"/>
  <c r="AP7" i="9" s="1"/>
  <c r="AX34" i="9"/>
  <c r="AX35" i="9" s="1"/>
  <c r="AX7" i="9" s="1"/>
  <c r="J21" i="9"/>
  <c r="J3" i="9" s="1"/>
  <c r="AP21" i="9"/>
  <c r="AP3" i="9" s="1"/>
  <c r="AR7" i="9" l="1"/>
  <c r="AR21" i="9"/>
  <c r="AR3" i="9" s="1"/>
  <c r="K7" i="9"/>
  <c r="K21" i="9"/>
  <c r="K3" i="9" s="1"/>
  <c r="P21" i="9"/>
  <c r="P3" i="9" s="1"/>
  <c r="BB21" i="7"/>
  <c r="BB3" i="7" s="1"/>
  <c r="BB8" i="7"/>
  <c r="V21" i="7"/>
  <c r="V3" i="7" s="1"/>
  <c r="V8" i="7"/>
  <c r="AV21" i="7"/>
  <c r="AV3" i="7" s="1"/>
  <c r="AV8" i="7"/>
  <c r="P8" i="7"/>
  <c r="P21" i="7"/>
  <c r="P3" i="7" s="1"/>
  <c r="AI8" i="7"/>
  <c r="AI21" i="7"/>
  <c r="AI3" i="7" s="1"/>
  <c r="AW21" i="7"/>
  <c r="AW3" i="7" s="1"/>
  <c r="AW8" i="7"/>
  <c r="I21" i="7"/>
  <c r="I3" i="7" s="1"/>
  <c r="I8" i="7"/>
  <c r="AI16" i="1"/>
  <c r="AJ12" i="1"/>
  <c r="S17" i="3"/>
  <c r="R14" i="3"/>
  <c r="Z21" i="9"/>
  <c r="Z3" i="9" s="1"/>
  <c r="AJ7" i="9"/>
  <c r="AJ21" i="9"/>
  <c r="AJ3" i="9" s="1"/>
  <c r="Y21" i="9"/>
  <c r="Y3" i="9" s="1"/>
  <c r="C21" i="9"/>
  <c r="C3" i="9" s="1"/>
  <c r="BC21" i="7"/>
  <c r="BC3" i="7" s="1"/>
  <c r="BC8" i="7"/>
  <c r="W21" i="7"/>
  <c r="W3" i="7" s="1"/>
  <c r="W8" i="7"/>
  <c r="S8" i="7"/>
  <c r="S21" i="7"/>
  <c r="S3" i="7" s="1"/>
  <c r="AD21" i="5"/>
  <c r="AD23" i="5" s="1"/>
  <c r="N12" i="2"/>
  <c r="O13" i="2"/>
  <c r="N21" i="7"/>
  <c r="N3" i="7" s="1"/>
  <c r="N8" i="7"/>
  <c r="T7" i="9"/>
  <c r="T21" i="9"/>
  <c r="T3" i="9" s="1"/>
  <c r="O21" i="7"/>
  <c r="O3" i="7" s="1"/>
  <c r="O8" i="7"/>
  <c r="AY8" i="7"/>
  <c r="AY21" i="7"/>
  <c r="AY3" i="7" s="1"/>
  <c r="I26" i="4"/>
  <c r="AU21" i="9"/>
  <c r="AU3" i="9" s="1"/>
  <c r="K14" i="3"/>
  <c r="J17" i="3"/>
  <c r="L7" i="9"/>
  <c r="L21" i="9"/>
  <c r="L3" i="9" s="1"/>
  <c r="AL21" i="7"/>
  <c r="AL3" i="7" s="1"/>
  <c r="AL8" i="7"/>
  <c r="F21" i="7"/>
  <c r="F3" i="7" s="1"/>
  <c r="F8" i="7"/>
  <c r="AF8" i="7"/>
  <c r="AF21" i="7"/>
  <c r="AF3" i="7" s="1"/>
  <c r="F18" i="5"/>
  <c r="E20" i="5"/>
  <c r="AM21" i="5"/>
  <c r="AM23" i="5" s="1"/>
  <c r="AN21" i="5"/>
  <c r="AN23" i="5" s="1"/>
  <c r="AR8" i="7"/>
  <c r="AR21" i="7"/>
  <c r="AR3" i="7" s="1"/>
  <c r="K8" i="7"/>
  <c r="K21" i="7"/>
  <c r="K3" i="7" s="1"/>
  <c r="Z21" i="7"/>
  <c r="Z3" i="7" s="1"/>
  <c r="Z8" i="7"/>
  <c r="AG8" i="7"/>
  <c r="AG21" i="7"/>
  <c r="AG3" i="7" s="1"/>
  <c r="AQ20" i="5"/>
  <c r="AR18" i="5"/>
  <c r="AH18" i="5"/>
  <c r="AG20" i="5"/>
  <c r="D7" i="9"/>
  <c r="D21" i="9"/>
  <c r="D3" i="9" s="1"/>
  <c r="AO21" i="9"/>
  <c r="AO3" i="9" s="1"/>
  <c r="I21" i="9"/>
  <c r="I3" i="9" s="1"/>
  <c r="BD34" i="9"/>
  <c r="AM21" i="7"/>
  <c r="AM3" i="7" s="1"/>
  <c r="AM8" i="7"/>
  <c r="G21" i="7"/>
  <c r="G3" i="7" s="1"/>
  <c r="G8" i="7"/>
  <c r="AX20" i="5"/>
  <c r="AY18" i="5"/>
  <c r="C8" i="7"/>
  <c r="C21" i="7"/>
  <c r="C3" i="7" s="1"/>
  <c r="G16" i="6"/>
  <c r="F15" i="6"/>
  <c r="F3" i="6" s="1"/>
  <c r="T20" i="5"/>
  <c r="U18" i="5"/>
  <c r="U20" i="5" s="1"/>
  <c r="V21" i="5" s="1"/>
  <c r="V23" i="5" s="1"/>
  <c r="X21" i="5"/>
  <c r="X23" i="5" s="1"/>
  <c r="AG21" i="5"/>
  <c r="AG23" i="5" s="1"/>
  <c r="AC21" i="5"/>
  <c r="AC23" i="5" s="1"/>
  <c r="AN7" i="9"/>
  <c r="AN21" i="9"/>
  <c r="AN3" i="9" s="1"/>
  <c r="AT21" i="7"/>
  <c r="AT3" i="7" s="1"/>
  <c r="AT8" i="7"/>
  <c r="H8" i="7"/>
  <c r="H21" i="7"/>
  <c r="H3" i="7" s="1"/>
  <c r="Q18" i="5"/>
  <c r="Q20" i="5" s="1"/>
  <c r="R21" i="5" s="1"/>
  <c r="R23" i="5" s="1"/>
  <c r="P20" i="5"/>
  <c r="Q21" i="5" s="1"/>
  <c r="Q23" i="5" s="1"/>
  <c r="AU21" i="7"/>
  <c r="AU3" i="7" s="1"/>
  <c r="AU8" i="7"/>
  <c r="AY21" i="9"/>
  <c r="AY3" i="9" s="1"/>
  <c r="AD21" i="7"/>
  <c r="AD3" i="7" s="1"/>
  <c r="AD8" i="7"/>
  <c r="BE30" i="7"/>
  <c r="BD8" i="7"/>
  <c r="BD21" i="7"/>
  <c r="BD3" i="7" s="1"/>
  <c r="X21" i="7"/>
  <c r="X3" i="7" s="1"/>
  <c r="X8" i="7"/>
  <c r="AX21" i="5"/>
  <c r="AX23" i="5" s="1"/>
  <c r="AQ8" i="7"/>
  <c r="AQ21" i="7"/>
  <c r="AQ3" i="7" s="1"/>
  <c r="J21" i="7"/>
  <c r="J3" i="7" s="1"/>
  <c r="J8" i="7"/>
  <c r="Y21" i="7"/>
  <c r="Y3" i="7" s="1"/>
  <c r="Y8" i="7"/>
  <c r="I34" i="4"/>
  <c r="J33" i="4"/>
  <c r="T21" i="5"/>
  <c r="T23" i="5" s="1"/>
  <c r="K12" i="2"/>
  <c r="J13" i="2"/>
  <c r="AB7" i="9"/>
  <c r="AB21" i="9"/>
  <c r="AB3" i="9" s="1"/>
  <c r="AN21" i="7"/>
  <c r="AN3" i="7" s="1"/>
  <c r="AN8" i="7"/>
  <c r="AP8" i="7"/>
  <c r="AP21" i="7"/>
  <c r="AP3" i="7" s="1"/>
  <c r="BD7" i="9"/>
  <c r="BE21" i="9"/>
  <c r="BD3" i="9" s="1"/>
  <c r="AZ7" i="9"/>
  <c r="AZ21" i="9"/>
  <c r="AZ3" i="9" s="1"/>
  <c r="AG21" i="9"/>
  <c r="AG3" i="9" s="1"/>
  <c r="AQ7" i="9"/>
  <c r="AQ21" i="9"/>
  <c r="AQ3" i="9" s="1"/>
  <c r="AA21" i="9"/>
  <c r="AA3" i="9" s="1"/>
  <c r="AA7" i="9"/>
  <c r="AE21" i="7"/>
  <c r="AE3" i="7" s="1"/>
  <c r="AE8" i="7"/>
  <c r="D8" i="7"/>
  <c r="D21" i="7"/>
  <c r="D3" i="7" s="1"/>
  <c r="AX21" i="9"/>
  <c r="AX3" i="9" s="1"/>
  <c r="T8" i="7"/>
  <c r="T21" i="7"/>
  <c r="T3" i="7" s="1"/>
  <c r="AX21" i="7"/>
  <c r="AX3" i="7" s="1"/>
  <c r="AX8" i="7"/>
  <c r="AR20" i="5" l="1"/>
  <c r="AS21" i="5" s="1"/>
  <c r="AS23" i="5" s="1"/>
  <c r="AS18" i="5"/>
  <c r="AS20" i="5" s="1"/>
  <c r="AT21" i="5" s="1"/>
  <c r="AT23" i="5" s="1"/>
  <c r="AQ21" i="5"/>
  <c r="AQ23" i="5" s="1"/>
  <c r="J26" i="4"/>
  <c r="AY21" i="5"/>
  <c r="AY23" i="5" s="1"/>
  <c r="E21" i="5"/>
  <c r="E23" i="5" s="1"/>
  <c r="E16" i="5" s="1"/>
  <c r="U21" i="5"/>
  <c r="U23" i="5" s="1"/>
  <c r="G18" i="5"/>
  <c r="G20" i="5" s="1"/>
  <c r="H21" i="5" s="1"/>
  <c r="H23" i="5" s="1"/>
  <c r="F20" i="5"/>
  <c r="O12" i="2"/>
  <c r="P13" i="2"/>
  <c r="T17" i="3"/>
  <c r="S14" i="3"/>
  <c r="I13" i="2"/>
  <c r="J12" i="2"/>
  <c r="H16" i="6"/>
  <c r="G15" i="6"/>
  <c r="G3" i="6" s="1"/>
  <c r="J14" i="3"/>
  <c r="I17" i="3"/>
  <c r="P21" i="5"/>
  <c r="P23" i="5" s="1"/>
  <c r="K33" i="4"/>
  <c r="J34" i="4"/>
  <c r="AI18" i="5"/>
  <c r="AI20" i="5" s="1"/>
  <c r="AJ21" i="5" s="1"/>
  <c r="AJ23" i="5" s="1"/>
  <c r="AH20" i="5"/>
  <c r="AI21" i="5" s="1"/>
  <c r="AI23" i="5" s="1"/>
  <c r="BF34" i="9"/>
  <c r="BD35" i="9"/>
  <c r="AH16" i="1"/>
  <c r="AI12" i="1"/>
  <c r="AY20" i="5"/>
  <c r="AZ18" i="5"/>
  <c r="BF35" i="9" l="1"/>
  <c r="BE7" i="9" s="1"/>
  <c r="BC7" i="9"/>
  <c r="BD21" i="9"/>
  <c r="BC3" i="9" s="1"/>
  <c r="AZ20" i="5"/>
  <c r="AZ21" i="5" s="1"/>
  <c r="AZ23" i="5" s="1"/>
  <c r="BA18" i="5"/>
  <c r="BA20" i="5" s="1"/>
  <c r="L33" i="4"/>
  <c r="K34" i="4"/>
  <c r="K26" i="4" s="1"/>
  <c r="H13" i="2"/>
  <c r="I12" i="2"/>
  <c r="AH21" i="5"/>
  <c r="AH23" i="5" s="1"/>
  <c r="Q13" i="2"/>
  <c r="P12" i="2"/>
  <c r="AG16" i="1"/>
  <c r="AH12" i="1"/>
  <c r="I14" i="3"/>
  <c r="H17" i="3"/>
  <c r="G21" i="5"/>
  <c r="G23" i="5" s="1"/>
  <c r="I16" i="6"/>
  <c r="H15" i="6"/>
  <c r="H3" i="6" s="1"/>
  <c r="AR21" i="5"/>
  <c r="AR23" i="5" s="1"/>
  <c r="U17" i="3"/>
  <c r="T14" i="3"/>
  <c r="F21" i="5"/>
  <c r="F23" i="5" s="1"/>
  <c r="F16" i="5" s="1"/>
  <c r="G13" i="2" l="1"/>
  <c r="H12" i="2"/>
  <c r="J16" i="6"/>
  <c r="I15" i="6"/>
  <c r="I3" i="6" s="1"/>
  <c r="L34" i="4"/>
  <c r="L26" i="4" s="1"/>
  <c r="M33" i="4"/>
  <c r="AF16" i="1"/>
  <c r="AG12" i="1"/>
  <c r="G16" i="5"/>
  <c r="H16" i="5" s="1"/>
  <c r="I16" i="5" s="1"/>
  <c r="J16" i="5" s="1"/>
  <c r="K16" i="5" s="1"/>
  <c r="L16" i="5" s="1"/>
  <c r="M16" i="5" s="1"/>
  <c r="N16" i="5" s="1"/>
  <c r="O16" i="5" s="1"/>
  <c r="P16" i="5" s="1"/>
  <c r="Q16" i="5" s="1"/>
  <c r="R16" i="5" s="1"/>
  <c r="S16" i="5" s="1"/>
  <c r="T16" i="5" s="1"/>
  <c r="U16" i="5" s="1"/>
  <c r="V16" i="5" s="1"/>
  <c r="W16" i="5" s="1"/>
  <c r="X16" i="5" s="1"/>
  <c r="Y16" i="5" s="1"/>
  <c r="Z16" i="5" s="1"/>
  <c r="AA16" i="5" s="1"/>
  <c r="AB16" i="5" s="1"/>
  <c r="AC16" i="5" s="1"/>
  <c r="AD16" i="5" s="1"/>
  <c r="AE16" i="5" s="1"/>
  <c r="AF16" i="5" s="1"/>
  <c r="AG16" i="5" s="1"/>
  <c r="R13" i="2"/>
  <c r="Q12" i="2"/>
  <c r="U14" i="3"/>
  <c r="V17" i="3"/>
  <c r="G17" i="3"/>
  <c r="H14" i="3"/>
  <c r="AH16" i="5"/>
  <c r="AI16" i="5" s="1"/>
  <c r="AJ16" i="5" s="1"/>
  <c r="AK16" i="5" s="1"/>
  <c r="AL16" i="5" s="1"/>
  <c r="AM16" i="5" s="1"/>
  <c r="AN16" i="5" s="1"/>
  <c r="AO16" i="5" s="1"/>
  <c r="AP16" i="5" s="1"/>
  <c r="AQ16" i="5" s="1"/>
  <c r="AR16" i="5" s="1"/>
  <c r="AS16" i="5" s="1"/>
  <c r="AT16" i="5" s="1"/>
  <c r="AU16" i="5" s="1"/>
  <c r="AV16" i="5" s="1"/>
  <c r="AW16" i="5" s="1"/>
  <c r="AX16" i="5" s="1"/>
  <c r="AY16" i="5" s="1"/>
  <c r="AZ16" i="5" s="1"/>
  <c r="BA16" i="5" s="1"/>
  <c r="BB16" i="5" s="1"/>
  <c r="BC16" i="5" l="1"/>
  <c r="BA3" i="5"/>
  <c r="AF12" i="1"/>
  <c r="AE16" i="1"/>
  <c r="G14" i="3"/>
  <c r="F17" i="3"/>
  <c r="N33" i="4"/>
  <c r="M34" i="4"/>
  <c r="M26" i="4" s="1"/>
  <c r="W17" i="3"/>
  <c r="V14" i="3"/>
  <c r="K16" i="6"/>
  <c r="J15" i="6"/>
  <c r="J3" i="6" s="1"/>
  <c r="S13" i="2"/>
  <c r="R12" i="2"/>
  <c r="G12" i="2"/>
  <c r="F13" i="2"/>
  <c r="E13" i="2" l="1"/>
  <c r="F12" i="2"/>
  <c r="BB3" i="5"/>
  <c r="BD16" i="5"/>
  <c r="O33" i="4"/>
  <c r="N34" i="4"/>
  <c r="N26" i="4" s="1"/>
  <c r="E17" i="3"/>
  <c r="F14" i="3"/>
  <c r="AE12" i="1"/>
  <c r="AD16" i="1"/>
  <c r="S12" i="2"/>
  <c r="T13" i="2"/>
  <c r="K15" i="6"/>
  <c r="K3" i="6" s="1"/>
  <c r="L16" i="6"/>
  <c r="X17" i="3"/>
  <c r="W14" i="3"/>
  <c r="D17" i="3" l="1"/>
  <c r="E14" i="3"/>
  <c r="BC3" i="5"/>
  <c r="BE16" i="5"/>
  <c r="BD3" i="5" s="1"/>
  <c r="X14" i="3"/>
  <c r="Y17" i="3"/>
  <c r="M16" i="6"/>
  <c r="L15" i="6"/>
  <c r="L3" i="6" s="1"/>
  <c r="U13" i="2"/>
  <c r="T12" i="2"/>
  <c r="E12" i="2"/>
  <c r="D13" i="2"/>
  <c r="P33" i="4"/>
  <c r="O34" i="4"/>
  <c r="O26" i="4" s="1"/>
  <c r="AD12" i="1"/>
  <c r="AC16" i="1"/>
  <c r="Q33" i="4" l="1"/>
  <c r="P34" i="4"/>
  <c r="P26" i="4" s="1"/>
  <c r="M15" i="6"/>
  <c r="M3" i="6" s="1"/>
  <c r="N16" i="6"/>
  <c r="Z17" i="3"/>
  <c r="Y14" i="3"/>
  <c r="D12" i="2"/>
  <c r="C13" i="2"/>
  <c r="C12" i="2" s="1"/>
  <c r="U12" i="2"/>
  <c r="V13" i="2"/>
  <c r="C17" i="3"/>
  <c r="C14" i="3" s="1"/>
  <c r="D14" i="3"/>
  <c r="AB16" i="1"/>
  <c r="AC12" i="1"/>
  <c r="AA16" i="1" l="1"/>
  <c r="AB12" i="1"/>
  <c r="O16" i="6"/>
  <c r="N15" i="6"/>
  <c r="N3" i="6" s="1"/>
  <c r="AA17" i="3"/>
  <c r="Z14" i="3"/>
  <c r="V12" i="2"/>
  <c r="W13" i="2"/>
  <c r="Q34" i="4"/>
  <c r="Q26" i="4" s="1"/>
  <c r="R33" i="4"/>
  <c r="AB17" i="3" l="1"/>
  <c r="AA14" i="3"/>
  <c r="P16" i="6"/>
  <c r="O15" i="6"/>
  <c r="O3" i="6" s="1"/>
  <c r="R34" i="4"/>
  <c r="R26" i="4" s="1"/>
  <c r="S33" i="4"/>
  <c r="Z16" i="1"/>
  <c r="AA12" i="1"/>
  <c r="W12" i="2"/>
  <c r="X13" i="2"/>
  <c r="Y13" i="2" l="1"/>
  <c r="X12" i="2"/>
  <c r="Y16" i="1"/>
  <c r="Z12" i="1"/>
  <c r="S34" i="4"/>
  <c r="S26" i="4" s="1"/>
  <c r="T33" i="4"/>
  <c r="Q16" i="6"/>
  <c r="P15" i="6"/>
  <c r="P3" i="6" s="1"/>
  <c r="AC17" i="3"/>
  <c r="AB14" i="3"/>
  <c r="R16" i="6" l="1"/>
  <c r="Q15" i="6"/>
  <c r="Q3" i="6" s="1"/>
  <c r="T34" i="4"/>
  <c r="T26" i="4" s="1"/>
  <c r="U33" i="4"/>
  <c r="Y12" i="1"/>
  <c r="X16" i="1"/>
  <c r="AC14" i="3"/>
  <c r="AD17" i="3"/>
  <c r="Z13" i="2"/>
  <c r="Y12" i="2"/>
  <c r="X12" i="1" l="1"/>
  <c r="W16" i="1"/>
  <c r="V33" i="4"/>
  <c r="U34" i="4"/>
  <c r="U26" i="4" s="1"/>
  <c r="Z12" i="2"/>
  <c r="AA13" i="2"/>
  <c r="S16" i="6"/>
  <c r="R15" i="6"/>
  <c r="R3" i="6" s="1"/>
  <c r="AE17" i="3"/>
  <c r="AD14" i="3"/>
  <c r="AA12" i="2" l="1"/>
  <c r="AB13" i="2"/>
  <c r="S15" i="6"/>
  <c r="S3" i="6" s="1"/>
  <c r="T16" i="6"/>
  <c r="W33" i="4"/>
  <c r="V34" i="4"/>
  <c r="V26" i="4" s="1"/>
  <c r="W12" i="1"/>
  <c r="V16" i="1"/>
  <c r="AF17" i="3"/>
  <c r="AE14" i="3"/>
  <c r="X33" i="4" l="1"/>
  <c r="W34" i="4"/>
  <c r="W26" i="4" s="1"/>
  <c r="U16" i="6"/>
  <c r="T15" i="6"/>
  <c r="T3" i="6" s="1"/>
  <c r="AB12" i="2"/>
  <c r="AC13" i="2"/>
  <c r="AG17" i="3"/>
  <c r="AF14" i="3"/>
  <c r="V12" i="1"/>
  <c r="U16" i="1"/>
  <c r="AH17" i="3" l="1"/>
  <c r="AG14" i="3"/>
  <c r="AD13" i="2"/>
  <c r="AC12" i="2"/>
  <c r="U15" i="6"/>
  <c r="U3" i="6" s="1"/>
  <c r="V16" i="6"/>
  <c r="U12" i="1"/>
  <c r="T16" i="1"/>
  <c r="Y33" i="4"/>
  <c r="X34" i="4"/>
  <c r="X26" i="4" s="1"/>
  <c r="W16" i="6" l="1"/>
  <c r="V15" i="6"/>
  <c r="V3" i="6" s="1"/>
  <c r="AD12" i="2"/>
  <c r="AE13" i="2"/>
  <c r="Y34" i="4"/>
  <c r="Y26" i="4" s="1"/>
  <c r="Z33" i="4"/>
  <c r="AI17" i="3"/>
  <c r="AH14" i="3"/>
  <c r="S16" i="1"/>
  <c r="T12" i="1"/>
  <c r="AJ17" i="3" l="1"/>
  <c r="AI14" i="3"/>
  <c r="AA33" i="4"/>
  <c r="Z34" i="4"/>
  <c r="Z26" i="4" s="1"/>
  <c r="AE12" i="2"/>
  <c r="AF13" i="2"/>
  <c r="R16" i="1"/>
  <c r="S12" i="1"/>
  <c r="X16" i="6"/>
  <c r="W15" i="6"/>
  <c r="W3" i="6" s="1"/>
  <c r="Q16" i="1" l="1"/>
  <c r="R12" i="1"/>
  <c r="AG13" i="2"/>
  <c r="AF12" i="2"/>
  <c r="AB33" i="4"/>
  <c r="AA34" i="4"/>
  <c r="AA26" i="4" s="1"/>
  <c r="Y16" i="6"/>
  <c r="X15" i="6"/>
  <c r="X3" i="6" s="1"/>
  <c r="AK17" i="3"/>
  <c r="AJ14" i="3"/>
  <c r="Y15" i="6" l="1"/>
  <c r="Y3" i="6" s="1"/>
  <c r="Z16" i="6"/>
  <c r="AB34" i="4"/>
  <c r="AB26" i="4" s="1"/>
  <c r="AC33" i="4"/>
  <c r="AH13" i="2"/>
  <c r="AG12" i="2"/>
  <c r="AK14" i="3"/>
  <c r="AL17" i="3"/>
  <c r="P16" i="1"/>
  <c r="Q12" i="1"/>
  <c r="AI13" i="2" l="1"/>
  <c r="AH12" i="2"/>
  <c r="AC34" i="4"/>
  <c r="AC26" i="4" s="1"/>
  <c r="AD33" i="4"/>
  <c r="Z15" i="6"/>
  <c r="Z3" i="6" s="1"/>
  <c r="AA16" i="6"/>
  <c r="P12" i="1"/>
  <c r="O16" i="1"/>
  <c r="AL14" i="3"/>
  <c r="AM17" i="3"/>
  <c r="AA15" i="6" l="1"/>
  <c r="AA3" i="6" s="1"/>
  <c r="AB16" i="6"/>
  <c r="AM14" i="3"/>
  <c r="AN17" i="3"/>
  <c r="AD34" i="4"/>
  <c r="AD26" i="4" s="1"/>
  <c r="AE33" i="4"/>
  <c r="AI12" i="2"/>
  <c r="AJ13" i="2"/>
  <c r="O12" i="1"/>
  <c r="N16" i="1"/>
  <c r="N12" i="1" l="1"/>
  <c r="M16" i="1"/>
  <c r="AF33" i="4"/>
  <c r="AE34" i="4"/>
  <c r="AE26" i="4" s="1"/>
  <c r="AO17" i="3"/>
  <c r="AN14" i="3"/>
  <c r="AB15" i="6"/>
  <c r="AB3" i="6" s="1"/>
  <c r="AC16" i="6"/>
  <c r="AK13" i="2"/>
  <c r="AJ12" i="2"/>
  <c r="AP17" i="3" l="1"/>
  <c r="AO14" i="3"/>
  <c r="AG33" i="4"/>
  <c r="AF34" i="4"/>
  <c r="AF26" i="4" s="1"/>
  <c r="M12" i="1"/>
  <c r="L16" i="1"/>
  <c r="AL13" i="2"/>
  <c r="AK12" i="2"/>
  <c r="AC15" i="6"/>
  <c r="AC3" i="6" s="1"/>
  <c r="AD16" i="6"/>
  <c r="AL12" i="2" l="1"/>
  <c r="AM13" i="2"/>
  <c r="K16" i="1"/>
  <c r="L12" i="1"/>
  <c r="AG34" i="4"/>
  <c r="AG26" i="4" s="1"/>
  <c r="AH33" i="4"/>
  <c r="AE16" i="6"/>
  <c r="AD15" i="6"/>
  <c r="AD3" i="6" s="1"/>
  <c r="AQ17" i="3"/>
  <c r="AP14" i="3"/>
  <c r="AF16" i="6" l="1"/>
  <c r="AE15" i="6"/>
  <c r="AE3" i="6" s="1"/>
  <c r="AH34" i="4"/>
  <c r="AH26" i="4" s="1"/>
  <c r="AI33" i="4"/>
  <c r="J16" i="1"/>
  <c r="K12" i="1"/>
  <c r="AM12" i="2"/>
  <c r="AN13" i="2"/>
  <c r="AR17" i="3"/>
  <c r="AQ14" i="3"/>
  <c r="AI34" i="4" l="1"/>
  <c r="AI26" i="4" s="1"/>
  <c r="AJ33" i="4"/>
  <c r="I16" i="1"/>
  <c r="J12" i="1"/>
  <c r="AS17" i="3"/>
  <c r="AR14" i="3"/>
  <c r="AG16" i="6"/>
  <c r="AF15" i="6"/>
  <c r="AF3" i="6" s="1"/>
  <c r="AO13" i="2"/>
  <c r="AN12" i="2"/>
  <c r="AH16" i="6" l="1"/>
  <c r="AG15" i="6"/>
  <c r="AG3" i="6" s="1"/>
  <c r="AT17" i="3"/>
  <c r="AS14" i="3"/>
  <c r="H16" i="1"/>
  <c r="I12" i="1"/>
  <c r="AK33" i="4"/>
  <c r="AJ34" i="4"/>
  <c r="AJ26" i="4" s="1"/>
  <c r="AP13" i="2"/>
  <c r="AO12" i="2"/>
  <c r="AL33" i="4" l="1"/>
  <c r="AK34" i="4"/>
  <c r="AK26" i="4" s="1"/>
  <c r="H12" i="1"/>
  <c r="G16" i="1"/>
  <c r="AT14" i="3"/>
  <c r="AU17" i="3"/>
  <c r="AP12" i="2"/>
  <c r="AQ13" i="2"/>
  <c r="AI16" i="6"/>
  <c r="AH15" i="6"/>
  <c r="AH3" i="6" s="1"/>
  <c r="AV17" i="3" l="1"/>
  <c r="AU14" i="3"/>
  <c r="G12" i="1"/>
  <c r="F16" i="1"/>
  <c r="AI15" i="6"/>
  <c r="AI3" i="6" s="1"/>
  <c r="AJ16" i="6"/>
  <c r="AL34" i="4"/>
  <c r="AL26" i="4" s="1"/>
  <c r="AM33" i="4"/>
  <c r="AQ12" i="2"/>
  <c r="AR13" i="2"/>
  <c r="AJ15" i="6" l="1"/>
  <c r="AJ3" i="6" s="1"/>
  <c r="AK16" i="6"/>
  <c r="F12" i="1"/>
  <c r="E16" i="1"/>
  <c r="AR12" i="2"/>
  <c r="AS13" i="2"/>
  <c r="AV14" i="3"/>
  <c r="AW17" i="3"/>
  <c r="AN33" i="4"/>
  <c r="AM34" i="4"/>
  <c r="AM26" i="4" s="1"/>
  <c r="E12" i="1" l="1"/>
  <c r="D16" i="1"/>
  <c r="AS12" i="2"/>
  <c r="AT13" i="2"/>
  <c r="AK15" i="6"/>
  <c r="AK3" i="6" s="1"/>
  <c r="AL16" i="6"/>
  <c r="AO33" i="4"/>
  <c r="AN34" i="4"/>
  <c r="AN26" i="4" s="1"/>
  <c r="AX17" i="3"/>
  <c r="AW14" i="3"/>
  <c r="AO34" i="4" l="1"/>
  <c r="AO26" i="4" s="1"/>
  <c r="AP33" i="4"/>
  <c r="AT12" i="2"/>
  <c r="AU13" i="2"/>
  <c r="AM16" i="6"/>
  <c r="AL15" i="6"/>
  <c r="AL3" i="6" s="1"/>
  <c r="C16" i="1"/>
  <c r="C12" i="1" s="1"/>
  <c r="D12" i="1"/>
  <c r="AY17" i="3"/>
  <c r="AX14" i="3"/>
  <c r="AN16" i="6" l="1"/>
  <c r="AM15" i="6"/>
  <c r="AM3" i="6" s="1"/>
  <c r="AU12" i="2"/>
  <c r="AV13" i="2"/>
  <c r="AP34" i="4"/>
  <c r="AP26" i="4" s="1"/>
  <c r="AQ33" i="4"/>
  <c r="AZ17" i="3"/>
  <c r="AY14" i="3"/>
  <c r="AR33" i="4" l="1"/>
  <c r="AQ34" i="4"/>
  <c r="AQ26" i="4" s="1"/>
  <c r="BA17" i="3"/>
  <c r="AZ14" i="3"/>
  <c r="AW13" i="2"/>
  <c r="AV12" i="2"/>
  <c r="AO16" i="6"/>
  <c r="AN15" i="6"/>
  <c r="AN3" i="6" s="1"/>
  <c r="AO15" i="6" l="1"/>
  <c r="AO3" i="6" s="1"/>
  <c r="AP16" i="6"/>
  <c r="AX13" i="2"/>
  <c r="AW12" i="2"/>
  <c r="BA4" i="3"/>
  <c r="BA14" i="3"/>
  <c r="BA3" i="3" s="1"/>
  <c r="BB17" i="3"/>
  <c r="AS33" i="4"/>
  <c r="AR34" i="4"/>
  <c r="AR26" i="4" s="1"/>
  <c r="BB4" i="3" l="1"/>
  <c r="BC17" i="3"/>
  <c r="BB14" i="3"/>
  <c r="BB3" i="3" s="1"/>
  <c r="AX12" i="2"/>
  <c r="AY13" i="2"/>
  <c r="AP15" i="6"/>
  <c r="AP3" i="6" s="1"/>
  <c r="AQ16" i="6"/>
  <c r="AT33" i="4"/>
  <c r="AS34" i="4"/>
  <c r="AS26" i="4" s="1"/>
  <c r="AY12" i="2" l="1"/>
  <c r="AZ13" i="2"/>
  <c r="AQ15" i="6"/>
  <c r="AQ3" i="6" s="1"/>
  <c r="AR16" i="6"/>
  <c r="BD17" i="3"/>
  <c r="BC4" i="3"/>
  <c r="BC14" i="3"/>
  <c r="BC3" i="3" s="1"/>
  <c r="AU33" i="4"/>
  <c r="AT34" i="4"/>
  <c r="AT26" i="4" s="1"/>
  <c r="BD4" i="3" l="1"/>
  <c r="BD14" i="3"/>
  <c r="BD3" i="3" s="1"/>
  <c r="AS16" i="6"/>
  <c r="AR15" i="6"/>
  <c r="AR3" i="6" s="1"/>
  <c r="BA13" i="2"/>
  <c r="AZ12" i="2"/>
  <c r="AV33" i="4"/>
  <c r="AU34" i="4"/>
  <c r="AU26" i="4" s="1"/>
  <c r="BA12" i="2" l="1"/>
  <c r="BA3" i="2" s="1"/>
  <c r="BB13" i="2"/>
  <c r="AW33" i="4"/>
  <c r="AV34" i="4"/>
  <c r="AV26" i="4" s="1"/>
  <c r="AS15" i="6"/>
  <c r="AS3" i="6" s="1"/>
  <c r="AT16" i="6"/>
  <c r="AU16" i="6" l="1"/>
  <c r="AT15" i="6"/>
  <c r="AT3" i="6" s="1"/>
  <c r="AX33" i="4"/>
  <c r="AW34" i="4"/>
  <c r="AW26" i="4" s="1"/>
  <c r="BB12" i="2"/>
  <c r="BB3" i="2" s="1"/>
  <c r="BC13" i="2"/>
  <c r="BC12" i="2" l="1"/>
  <c r="BC3" i="2" s="1"/>
  <c r="BD13" i="2"/>
  <c r="BD12" i="2" s="1"/>
  <c r="BD3" i="2" s="1"/>
  <c r="AX34" i="4"/>
  <c r="AX26" i="4" s="1"/>
  <c r="AY33" i="4"/>
  <c r="AV16" i="6"/>
  <c r="AU15" i="6"/>
  <c r="AU3" i="6" s="1"/>
  <c r="AW16" i="6" l="1"/>
  <c r="AV15" i="6"/>
  <c r="AV3" i="6" s="1"/>
  <c r="AY34" i="4"/>
  <c r="AY26" i="4" s="1"/>
  <c r="AZ33" i="4"/>
  <c r="AZ34" i="4" l="1"/>
  <c r="AZ26" i="4" s="1"/>
  <c r="BA33" i="4"/>
  <c r="AX16" i="6"/>
  <c r="AW15" i="6"/>
  <c r="AW3" i="6" s="1"/>
  <c r="AY16" i="6" l="1"/>
  <c r="AX15" i="6"/>
  <c r="AX3" i="6" s="1"/>
  <c r="BB33" i="4"/>
  <c r="BA34" i="4"/>
  <c r="BA26" i="4" s="1"/>
  <c r="BC33" i="4" l="1"/>
  <c r="BB34" i="4"/>
  <c r="BB26" i="4" s="1"/>
  <c r="AY15" i="6"/>
  <c r="AY3" i="6" s="1"/>
  <c r="AZ16" i="6"/>
  <c r="AZ15" i="6" l="1"/>
  <c r="AZ3" i="6" s="1"/>
  <c r="BA16" i="6"/>
  <c r="BD33" i="4"/>
  <c r="BC34" i="4"/>
  <c r="BC26" i="4" s="1"/>
  <c r="BE33" i="4" l="1"/>
  <c r="BD34" i="4"/>
  <c r="BD26" i="4" s="1"/>
  <c r="BA15" i="6"/>
  <c r="BA3" i="6" s="1"/>
  <c r="BB16" i="6"/>
  <c r="BC16" i="6" l="1"/>
  <c r="BB15" i="6"/>
  <c r="BB3" i="6" s="1"/>
  <c r="BF33" i="4"/>
  <c r="BE34" i="4"/>
  <c r="BE26" i="4" s="1"/>
  <c r="BG33" i="4" l="1"/>
  <c r="BF34" i="4"/>
  <c r="BF26" i="4" s="1"/>
  <c r="BD16" i="6"/>
  <c r="BD15" i="6" s="1"/>
  <c r="BD3" i="6" s="1"/>
  <c r="BC15" i="6"/>
  <c r="BC3" i="6" s="1"/>
  <c r="BH33" i="4" l="1"/>
  <c r="BG34" i="4"/>
  <c r="BG26" i="4" s="1"/>
  <c r="BI33" i="4" l="1"/>
  <c r="BH34" i="4"/>
  <c r="BH26" i="4" s="1"/>
  <c r="BI34" i="4" l="1"/>
  <c r="BI26" i="4" s="1"/>
  <c r="BJ33" i="4"/>
  <c r="BJ34" i="4" l="1"/>
  <c r="BJ26" i="4" s="1"/>
  <c r="BK33" i="4"/>
  <c r="BL33" i="4" l="1"/>
  <c r="BK34" i="4"/>
  <c r="BK26" i="4" s="1"/>
  <c r="BM33" i="4" l="1"/>
  <c r="BL34" i="4"/>
  <c r="BL26" i="4" s="1"/>
  <c r="BA3" i="4" l="1"/>
  <c r="BN33" i="4"/>
  <c r="BM34" i="4"/>
  <c r="BM26" i="4" s="1"/>
  <c r="BB3" i="4" l="1"/>
  <c r="BO33" i="4"/>
  <c r="BO34" i="4" s="1"/>
  <c r="BN34" i="4"/>
  <c r="BN26" i="4" s="1"/>
  <c r="BC3" i="4" l="1"/>
  <c r="BO26" i="4"/>
  <c r="BD3" i="4" s="1"/>
</calcChain>
</file>

<file path=xl/comments1.xml><?xml version="1.0" encoding="utf-8"?>
<comments xmlns="http://schemas.openxmlformats.org/spreadsheetml/2006/main">
  <authors>
    <author>Campbell, Elliott T</author>
  </authors>
  <commentList>
    <comment ref="B31" authorId="0">
      <text>
        <r>
          <rPr>
            <b/>
            <sz val="9"/>
            <color indexed="81"/>
            <rFont val="Tahoma"/>
            <family val="2"/>
          </rPr>
          <t>Campbell, Elliott T:</t>
        </r>
        <r>
          <rPr>
            <sz val="9"/>
            <color indexed="81"/>
            <rFont val="Tahoma"/>
            <family val="2"/>
          </rPr>
          <t xml:space="preserve">
This is a cost per ton of carbon, while we are measuring CO2. Update to Sean's numbers</t>
        </r>
      </text>
    </comment>
  </commentList>
</comments>
</file>

<file path=xl/sharedStrings.xml><?xml version="1.0" encoding="utf-8"?>
<sst xmlns="http://schemas.openxmlformats.org/spreadsheetml/2006/main" count="345" uniqueCount="233">
  <si>
    <t>Indicator 8: Cost of Water Pollution</t>
  </si>
  <si>
    <t>YEAR</t>
    <phoneticPr fontId="0" type="noConversion"/>
  </si>
  <si>
    <t>Cost of Water Pollution (Billion 2000 $)</t>
  </si>
  <si>
    <t>Percentage of MD Streams and Rivers Degraded</t>
  </si>
  <si>
    <t>Data Sources for Graphs:</t>
  </si>
  <si>
    <t>Percentage Degraded Multiplied by $676.52 million</t>
    <phoneticPr fontId="0" type="noConversion"/>
  </si>
  <si>
    <t>Maryland Department of Natural Resources, Extrapolations</t>
    <phoneticPr fontId="0" type="noConversion"/>
  </si>
  <si>
    <t>Complete List of Data</t>
  </si>
  <si>
    <t>Percentage of MD Streams and Rivers degraded</t>
    <phoneticPr fontId="0" type="noConversion"/>
  </si>
  <si>
    <t>Percentage of larger Rivers degraded</t>
    <phoneticPr fontId="0" type="noConversion"/>
  </si>
  <si>
    <t>Percentage of larger Rivers degraded, interpolated</t>
    <phoneticPr fontId="0" type="noConversion"/>
  </si>
  <si>
    <t>Data Sources for 'Complete List of Data':</t>
  </si>
  <si>
    <t>Calculated, % Degraded Multiplied by $676.52 million</t>
    <phoneticPr fontId="0" type="noConversion"/>
  </si>
  <si>
    <t>Maryland Department of Natural Resources</t>
    <phoneticPr fontId="0" type="noConversion"/>
  </si>
  <si>
    <t>Interpolated, 3% degradation per year assumed</t>
    <phoneticPr fontId="0" type="noConversion"/>
  </si>
  <si>
    <t>Combined from above</t>
    <phoneticPr fontId="0" type="noConversion"/>
  </si>
  <si>
    <t>Formula for monetary value:</t>
  </si>
  <si>
    <t>Percentage of Degraded Rivers and Streams Multiplied by $676.52 Million</t>
  </si>
  <si>
    <t>Methodological Notes:</t>
  </si>
  <si>
    <t xml:space="preserve">There are various ways in which the cost of water pollution can be evaluated all begin with some sort of assessment of water quality.  Maryland has been monitoring water quality in its streams, rivers and Bays for decades and has an excellent record of water quality conditions (http://www.dnr.state.md.us/waters/).  Over the years, monitoring efforts have expanded and improved.  Evaluation of water quality trends over the past 50 years rests on actual monitored data and extrapolation of trends to points in time where data had not been gathered or where there existed anecdotal or qualitative accounts of water quality.  
To calculate trends in water pollution for Maryland, two data sets and a technique of interpolation were used.  From 1995, data from a new way of calculating pollution constructed by the Maryland Department of Natural Resources specifically for the GPI was used.  From 1975 to 1994 some data points on the share of degraded rivers was used, with the assumption that this reflects the overall trends in water pollution.  Earlier years were interpolated following an assumption that water quality declined by 3% each year since there was no pollution control regulations in place then.
For putting a monetary value on water pollution, a new methodology had to be developed. The estimates used by most previous state-level studies were unrealistically low, only assuming about $13 of per capita benefits from clean rivers and streams. Various studies into the amount people are willing to pay for preservation of a single river showed results of several hundred dollars. The values used by the national GPI studies were in a more realistic range, but did no lend themselves to adoption at a state level. Drawing on a review of a number of valuation studies, a value of $130 dollars per capita, or $676.52 million overall, in 2000 for clean water was adopted. This represents a rough estimate, but is more realistic that the number used in previous state level GPI studies, while still erring on the conservative side. The cost of water pollution is simply the value of clean water multiplied by the percentage of waterways that are degraded.  The national GPI calculations have included erosion damages as part of their water calculation indicator. While this is considered significant, they were found difficult to determine at a state level.
</t>
  </si>
  <si>
    <t>Stated preference of $675 million undervalues what society invests in clean water- wastewater treatment, regulation costs, recreation, research. Including these costs better estimate the cost society bears to have clean water</t>
  </si>
  <si>
    <t>Accompanying files:</t>
  </si>
  <si>
    <t>Accompanying Text:</t>
  </si>
  <si>
    <t xml:space="preserve">This is the text that will go on the website with the indicator graphs and numbers. Feel free to enter any information related to the specific indicator you consider relevant. Formatting and style is not that important yet.
Some examples for wetlands could be: Milestone legislation,any interesting numbers outside those included in the indicator, a short paragraph on why wetlands are so important, how they support the economy..... </t>
  </si>
  <si>
    <t>Indicator 9: Cost of Air Pollution</t>
  </si>
  <si>
    <t>Cost of Air Pollution (Billion 2000 $)</t>
  </si>
  <si>
    <t>Maryland 8-hour Ozone Exceeding Days per Year</t>
    <phoneticPr fontId="0" type="noConversion"/>
  </si>
  <si>
    <t>National Cost Estimates Adopted to Maryland Trends</t>
    <phoneticPr fontId="0" type="noConversion"/>
  </si>
  <si>
    <t>From Maryland Department of the Environment, Extraploated for Earlier Years</t>
    <phoneticPr fontId="0" type="noConversion"/>
  </si>
  <si>
    <t>Cost of Air Pollution in Maryland, millions</t>
  </si>
  <si>
    <t>Maryland 8-hour Ozone Exceeding days per year</t>
  </si>
  <si>
    <t>Maryland 8-hour Ozone Exceeding days per year, interpolations based on national trends</t>
  </si>
  <si>
    <t>Maryland 8-hour Ozone Exceeding days per year, combined</t>
  </si>
  <si>
    <t>Maryland Forest to US forest</t>
  </si>
  <si>
    <t>Maryland Farmland to US farmland</t>
  </si>
  <si>
    <t>Maryland population to US population</t>
  </si>
  <si>
    <t>Maryland cost of air pollution, Agriculture, millions</t>
  </si>
  <si>
    <t>, material, cleaning, urban, aestetic</t>
  </si>
  <si>
    <t>, forest</t>
  </si>
  <si>
    <t>Row 2 Converted to Billions</t>
    <phoneticPr fontId="0" type="noConversion"/>
  </si>
  <si>
    <t>Calculations, Sum of Rows 8-10 for 1970, Trends from Ozone Days in Both Directions</t>
    <phoneticPr fontId="0" type="noConversion"/>
  </si>
  <si>
    <t>MDE 2006, 2007, 2008 seasonal reports</t>
  </si>
  <si>
    <t>Interpolated and Extrapolated</t>
    <phoneticPr fontId="0" type="noConversion"/>
  </si>
  <si>
    <t>Combination of Above</t>
    <phoneticPr fontId="0" type="noConversion"/>
  </si>
  <si>
    <t>6 to 8</t>
  </si>
  <si>
    <t>Calculations Based on USDA Data and Population Spreadsheet</t>
    <phoneticPr fontId="0" type="noConversion"/>
  </si>
  <si>
    <t>9 to 11</t>
  </si>
  <si>
    <t>Values Taken from Costanza et al. Times Maryland to National Ratios</t>
    <phoneticPr fontId="0" type="noConversion"/>
  </si>
  <si>
    <t>Cost of Air Pollution in 1970 = (National Costs for Different Aspects Scaled by State Characteristics) Plus (Costs of Air Pollution in Other Years Based on Ozone Levels and National Air Pollution Trends)</t>
  </si>
  <si>
    <t xml:space="preserve">There are significant issues with using Air Quality Index (AQI) and Pollutant Standards Index (PSI) for calculations of air quality damage, as other studies have done.  They are only measured at specific places, aggregation for the State level is difficult, and historical continuity of methodology is not at all given.  In addition, the PSI does not provide "one" value for pollution levels, but for various pollutants.  And simply calculating a mean is highly inaccurate.  PSI data has also become extremely difficult to retrieve from EPA, being hidden in a format requiring massive aggregation. 
In MD-GPI Working Group meetings, the decision was made that using ozone values would be a useful proxy, since it has been one of the limiting factors for Maryland where it has struggled most (Improving Maryland’s Air Quality Report).  Ozone trends were interpolated for before 1980 based on national trends.  For 1975 to 1981, an improvement by 14 percent is taken from the 1981 Air Quality Trends Report.  Ozone data from previous trends reports becomes insufficient.  So for pre-1975 years, assumptions from previous GPI studies were adopted that assume improvements by 3% per year  in the 1970s and a decline of 2.4% per year in the 1960s.  We stress that before 1980 figures, the value for days over the 8-hour limit do not really represent this physical fact anymore, but become a general measure of changes in air quality over time.
For economic valuation, a variety of studies was considered, including some (e.g. Krpnick 1992) that give better estimates of health impacts and focus on ozone.  However, no convincing alternative to the methodology used by Costanza et al. was found, and it was therefore adopted.  Considering ratios of forest, farmland, and population to national numbers, damage figures were scaled.  The calculated damage figure was then applied to 1970, since this is the year the Freeman study that is used as a basis for values was targeted at.  Trends in the ozone days row are then applied to this figure to arrive at yearly costs of air pollution.
</t>
  </si>
  <si>
    <t>Indicator 10: Cost of Noise Pollution</t>
  </si>
  <si>
    <t xml:space="preserve"> YEAR</t>
    <phoneticPr fontId="0" type="noConversion"/>
  </si>
  <si>
    <t>Cost of Noise Pollution (Billion 2000 $)</t>
  </si>
  <si>
    <t>National Damage Estimates (Billion 2000 $)</t>
  </si>
  <si>
    <t>National Estimate Scaled by the Share of Urban Population</t>
  </si>
  <si>
    <t>From Statistical Abstracts for Census Years, Interpolated</t>
  </si>
  <si>
    <t>Based on National GPI Studies</t>
  </si>
  <si>
    <t>National Urban Population (1,000s)</t>
  </si>
  <si>
    <t>Maryland Urban Population (1,000s)</t>
  </si>
  <si>
    <t>National Estimate Scaled by the Share of Urban Population</t>
    <phoneticPr fontId="0" type="noConversion"/>
  </si>
  <si>
    <t>From Statistical Abstracts for Census Years, Interpolated</t>
    <phoneticPr fontId="0" type="noConversion"/>
  </si>
  <si>
    <t>Based on National GPI Studies</t>
    <phoneticPr fontId="0" type="noConversion"/>
  </si>
  <si>
    <t>National Costs of Noise Pollution Scaled Down by Urban Population Ratio.  The National Costs of Noise Pollution in 1972= $14.62 Billion; National Cost of Noise Pollution in Other Years Equals Trends Before and After 1972</t>
  </si>
  <si>
    <t>National Data was scaled down, but not based on population but urban population, where noise effects can be expected to occur. The national studies assume a cost of $14.62 billion (2000) dollars in 1972 for the cost of noise pollution based on a rather old WHO study. However, while there has been plenty of research into the valuation of noise, there is to date not a better comprehensive value available.
The national study uses the follwing assumptions:
"the quality of the auditory environment declined by 3 percent per year from 1950 to 1972, based on industrialization and increased noise emissions from motor vehicles and airplanes. From 1972 to 1994, noise abatement regulations are assumed to have reduced the rate of deterioration to 1 percent per year, but not to have improved it. With no new noise pollution data since the 1995 GPI estimates, we assume a constant rate of decline in the auditory environment at 1 percent per annum."</t>
  </si>
  <si>
    <t>Indicator 11: Cost of Net Wetland Change</t>
  </si>
  <si>
    <t>Cost of Net Wetland Change (Billions 2000 $)</t>
    <phoneticPr fontId="0" type="noConversion"/>
  </si>
  <si>
    <t>Wetland Area in Maryland (Acres)</t>
  </si>
  <si>
    <t>Net Wetland Loss (Acres)</t>
  </si>
  <si>
    <t>Cumulative, Services from all Wetlands lost so far</t>
    <phoneticPr fontId="0" type="noConversion"/>
  </si>
  <si>
    <t>Combination from Multiple Sources</t>
    <phoneticPr fontId="0" type="noConversion"/>
  </si>
  <si>
    <t>Calculated Based on Valuation Studies</t>
    <phoneticPr fontId="0" type="noConversion"/>
  </si>
  <si>
    <t>Wetland Acreage in Maryland</t>
  </si>
  <si>
    <t>Wetland acreage interpolated</t>
  </si>
  <si>
    <t>Wetland Area in Maryland (Acres)</t>
    <phoneticPr fontId="0" type="noConversion"/>
  </si>
  <si>
    <t>Wetland Value Per Acre (2000 $)</t>
    <phoneticPr fontId="0" type="noConversion"/>
  </si>
  <si>
    <t>Costs of Wetland Loss: Annual Changes</t>
  </si>
  <si>
    <t>ITEM / YEAR</t>
  </si>
  <si>
    <t>pre-colonial</t>
  </si>
  <si>
    <t>Costs of Wetland loss, cumulative, billions</t>
  </si>
  <si>
    <t>Wetland acreage combined</t>
  </si>
  <si>
    <t>Net Wetland Loss</t>
  </si>
  <si>
    <t>Wetland Loss Costs per acre</t>
  </si>
  <si>
    <t>Costs of Wetland Loss anual changes</t>
  </si>
  <si>
    <t>Calculated, Sum of all Previous Wetland Losses</t>
    <phoneticPr fontId="0" type="noConversion"/>
  </si>
  <si>
    <t>Tiner and Burke (1995): Wetlands of Maryland</t>
  </si>
  <si>
    <t>MDE Summary Documents</t>
    <phoneticPr fontId="0" type="noConversion"/>
  </si>
  <si>
    <t>Tiner and Finn 1986</t>
  </si>
  <si>
    <t>Based on the Assumption of 1000 Acres per Aear lost from 1950 to 1990</t>
    <phoneticPr fontId="0" type="noConversion"/>
  </si>
  <si>
    <t>Combination of Rows 2 and 4, with the Starting Estimate from Row 1</t>
    <phoneticPr fontId="0" type="noConversion"/>
  </si>
  <si>
    <t>Calculated from 1991, Assumption of 1000 acres earlier</t>
    <phoneticPr fontId="0" type="noConversion"/>
  </si>
  <si>
    <t>Based on Costanza et al. and Bagstad and Ceroni</t>
    <phoneticPr fontId="0" type="noConversion"/>
  </si>
  <si>
    <t>Calculated, Net Wetland Loss Times Costs per Acre</t>
    <phoneticPr fontId="0" type="noConversion"/>
  </si>
  <si>
    <t>[(Number of Wetland Acres Lost before 1950) Multiplied by $396] Added to [(Number of Wetland Acres Lost after 1950) Multiplied by $1,973)</t>
  </si>
  <si>
    <r>
      <t>Wetland Data</t>
    </r>
    <r>
      <rPr>
        <sz val="11"/>
        <rFont val="Verdana"/>
        <family val="2"/>
      </rPr>
      <t xml:space="preserve"> 
Information for this indicator is from Maryland’s Wetland Conservation Plan, U.S. Fish and Wildlife status and trend inventories, and Maryland Department of the Environment regulatory records and voluntary wetland restoration reports.
Numerous inventories of wetlands in Maryland have been conducted over the last century.  Changes in survey methods and definition of wetlands have made it impossible to use early inventories for continuous tracking of status and trends.  The 1960 baseline was estimated from wetland trend reports from 1955-1978, and 1982-1989 produced by the U.S. Fish and Wildlife Service (USFWS) that consistently reported a loss of approximately 1,000 acres per year during this time period, which is supported by Tiner and Finn (1986) that calculated annual net losses of 1100 acres from 1950 to 1986.  
A 2008 analysis by MDE using digital wetland maps produced in the 1980’s, 1990’s and 2000 yielded the estimate of 757,200 acres of mapped wetlands ca. 1990.  Average annual natural losses at Blackwater National Wildlife Refuge, estimated by the USFWS, remain at 150 acres per year.  Based on this information, MDE estimates that there were approximately 800,000 acres of vegetated wetlands in 1950.  Records from MDE’s regulatory wetlands program for authorized losses, required mitigation, and collection of reports for voluntary restoration were used for the annual cumulative figures in this indicator.  MDE assumes that additional losses and gains have occurred without readily available records, thus some trends, particularly gains achieved prior to 1998, may be misleading.
</t>
    </r>
    <r>
      <rPr>
        <b/>
        <i/>
        <sz val="11"/>
        <rFont val="Verdana"/>
        <family val="2"/>
      </rPr>
      <t>Wetland Value</t>
    </r>
    <r>
      <rPr>
        <sz val="11"/>
        <rFont val="Verdana"/>
        <family val="2"/>
      </rPr>
      <t xml:space="preserve">
Following previous studies, especially Costanza et. al. 2004, based on meta-analysis of wetland valuation studies, a pre-1950 value of 396 per acre and year, and later losses at 1973 per year in 1950, rising by 2% per year based on increased scarcity.  Costanza et al. use a higher inflation of wetland values, but we follow Bagstad and Ceroni in considering Costanza’s 5% value overly high. The Cost of Net Wetland Change is calculated based on overall losses since pre-colonial time, when there were about 1.2 million acres of wetlands.
</t>
    </r>
  </si>
  <si>
    <t>Indicator 12: Cost of Net Farmland Change</t>
  </si>
  <si>
    <t>Cost of Net Farmland Change (Billion 2000 $)</t>
  </si>
  <si>
    <t>Total Farm Land Acreage (1,000 Acres)</t>
  </si>
  <si>
    <t>Farmland Loss (1,000 Acres)</t>
  </si>
  <si>
    <t>Cumulative Losses Converted to Billion</t>
    <phoneticPr fontId="0" type="noConversion"/>
  </si>
  <si>
    <t>Based on National Agricultural Statistics Service</t>
    <phoneticPr fontId="0" type="noConversion"/>
  </si>
  <si>
    <t>Change in Farmland Acreage</t>
    <phoneticPr fontId="0" type="noConversion"/>
  </si>
  <si>
    <t>Farmland Loss Multiplied by $1,131.</t>
    <phoneticPr fontId="0" type="noConversion"/>
  </si>
  <si>
    <t>YEAR</t>
  </si>
  <si>
    <t>Cost of Net Farmland Change (Billion 2000 $)</t>
    <phoneticPr fontId="0" type="noConversion"/>
  </si>
  <si>
    <t>Total Farm Land Acreage, thousand acres</t>
  </si>
  <si>
    <t>Total Farm Land Acreage, interpolated</t>
  </si>
  <si>
    <t>Total Farm Land Acreage, extrapolated</t>
  </si>
  <si>
    <t>Total Farm Land Acreage, combined</t>
  </si>
  <si>
    <t>Farmland Loss, thousand acres</t>
  </si>
  <si>
    <t>Value of Farmland loss per acre and year</t>
  </si>
  <si>
    <t>New Services Lost Each Year (2000 $)</t>
  </si>
  <si>
    <t>Information provided by MDP based on United States Department of Agriculture’s National Agricultural Statistics Service (NASS)</t>
  </si>
  <si>
    <t>Calculations, Linear Interpolation</t>
    <phoneticPr fontId="0" type="noConversion"/>
  </si>
  <si>
    <t>Calculations, Extrapolations ´Based on 1973 to 2002 Trend.</t>
    <phoneticPr fontId="0" type="noConversion"/>
  </si>
  <si>
    <t>Rows 2,3,4 Combined</t>
    <phoneticPr fontId="0" type="noConversion"/>
  </si>
  <si>
    <t>Difference to Previous Year</t>
    <phoneticPr fontId="0" type="noConversion"/>
  </si>
  <si>
    <t>Explained Below</t>
    <phoneticPr fontId="0" type="noConversion"/>
  </si>
  <si>
    <t>Calculated, Farmland Loss per Year Times Value per Acre</t>
    <phoneticPr fontId="0" type="noConversion"/>
  </si>
  <si>
    <t>Formula for Monetary Value:</t>
  </si>
  <si>
    <t>(Number of Farmland Acres Lost) Multiplied by $1,131</t>
  </si>
  <si>
    <r>
      <t>Farmland Data</t>
    </r>
    <r>
      <rPr>
        <sz val="11"/>
        <rFont val="Verdana"/>
        <family val="2"/>
      </rPr>
      <t xml:space="preserve"> 
Data on farmland loss was obtained from the United States Department of Agriculture’s National Agricultural Statistics Service (NASS).  NASS has tracked major land use changes from 1945 to 2002 using data from the Agricultural Census, the National Forest Service, the U.S. Bureau of the Census, and other sources.  While there are issues with how farmland is defined, and there have been changes to farmland definitions over time, this is the best source of time-series data for the United States for land use change. Note that one category of farmland, forestland used for grazing, has been excluded from farmland data and included in forestland data to ensure that there is no double-counting of land use changes.  Since the time series for the NASS data was 1945 to 2002, it was adjusted to match the 1950 to 2007 time frame of this report by estimating and extrapolating yearly change rates.
Data for 1950 was interpolated using a linear trend between the 1949 and 1954 data sets.  The trend is very similar to an average from 1992 to 2002, however the trend from 1997 to 2002 shows a gain in farmland. This is a critical decision, but is based on the general observation of continued urban sprawl in many counties of Maryland.  Another important issue is land conversion; namely, is farmland being converted to development, forestry, or some other land use.  To be consistent, farmland loss was valued to keep methodologies largely constant across different land uses.  While this might slightly overestimate damages in some situation, this should be more than compensated by the omission of changes in farmland quality. 
</t>
    </r>
    <r>
      <rPr>
        <b/>
        <i/>
        <sz val="11"/>
        <rFont val="Verdana"/>
        <family val="2"/>
      </rPr>
      <t>Farmland Value</t>
    </r>
    <r>
      <rPr>
        <sz val="11"/>
        <rFont val="Verdana"/>
        <family val="2"/>
      </rPr>
      <t xml:space="preserve">
Value calculations for farmland have greatly risen from the 1998 to the 2006 GPI updates, the former working with an estimate of $404 dollars, the latter $5,501. The original value was based solely on productivity, the later on contingent valuation of amenity values, capturing the value of an agricultural landscape much better. Talberth et. al adjust this value to account for increasing scarcity of farmland. This study follows the logic of the Vermont and Ohio GPI studies in working with the lower value to stay on the conservative side. The state level studies argue that the high amenity values used by Talberth et al. are only valid in some circumstances, not for large agricultural areas. In addition, the high numbers would make farmland significantly more valuable than estimates for ohiowetlands, which would be ecologically untrue, especially since farmland also includes very intensively used land with low species density and damaged ecological functionality.
For Maryland, productivity was compared from Agricultural Census data by using farm product sales per acre in farms. Based on a sample of recent years, Maryland farmland productivity can be assumed to be about 2.8 times the national average. This was applied to the number introduced by the 1998 GPI study adjusted to 2000 dollars, for a value of $404*2.8= $1,131 per acre/year.  From 1950 to 2007, Maryland has lost an estimated 873 thousand acres of farmland.
</t>
    </r>
  </si>
  <si>
    <t>Indicator 13: Cost of Net Forest Cover Change</t>
  </si>
  <si>
    <t>Cost of Net Forest Cover Change (Billion 2000 $)</t>
  </si>
  <si>
    <t>Maryland Forest Cover (1,000s Acres)</t>
  </si>
  <si>
    <t>Forest Cover Losses (Acres)</t>
  </si>
  <si>
    <t>Calculated based on Cumulative Forest Change</t>
    <phoneticPr fontId="0" type="noConversion"/>
  </si>
  <si>
    <t>Estimated Based on Department of Agriculture Data</t>
    <phoneticPr fontId="0" type="noConversion"/>
  </si>
  <si>
    <t>Calculated from Forest Cover Data</t>
    <phoneticPr fontId="0" type="noConversion"/>
  </si>
  <si>
    <t>Cost of Net Forest Cover Change (2000 $)</t>
  </si>
  <si>
    <t>Value of Forest Services per Acre (2000 $)</t>
  </si>
  <si>
    <t>Forest Services Lost (2000 $)</t>
  </si>
  <si>
    <t>Adjusted in 2010 Update</t>
  </si>
  <si>
    <t>Converted to Billions from Row 2</t>
    <phoneticPr fontId="0" type="noConversion"/>
  </si>
  <si>
    <t>Cumulative, Calculated from Row 7</t>
    <phoneticPr fontId="0" type="noConversion"/>
  </si>
  <si>
    <t>USDA Forest Service Forest Inventory Analysis</t>
  </si>
  <si>
    <t>Calculated</t>
  </si>
  <si>
    <t>Row 2 and Row 3</t>
    <phoneticPr fontId="0" type="noConversion"/>
  </si>
  <si>
    <t>Calculated from Row 4, for 1950 a Drop From About 90% Pre-Settlement Forest Cover is Taken into Account</t>
    <phoneticPr fontId="0" type="noConversion"/>
  </si>
  <si>
    <t>Based on Campbell 2014</t>
  </si>
  <si>
    <t>Calculated, Row 5 Multiplied by Row 6</t>
    <phoneticPr fontId="0" type="noConversion"/>
  </si>
  <si>
    <t>(Number of Forest Cover Acres Lost) Multiplied by $334.5</t>
  </si>
  <si>
    <r>
      <t xml:space="preserve">Forest Cover Data </t>
    </r>
    <r>
      <rPr>
        <sz val="11"/>
        <rFont val="Verdana"/>
        <family val="2"/>
      </rPr>
      <t xml:space="preserve">
The U.S. Forest Service (USFS) Forest Inventory Analysis (FIA) Program provided the forest trend data.  FIA collects, analyzes, reports, and distributes data about the Nation’s forests: how much forest exists, who owns it, what condition it's in, where it’s located, and how it's changed.  The Northern Research Station FIA unit provides the data for Maryland and 23 other northeastern states.  The FIA program has been in existence since the 1930s.  Forest data is collected through field-based survey methods on sample plots throughout the state on an annual basis.  Maryland Forest Service staff participates in the collection of this data.  In former years, FIA completed statewide surveys approximately every 12 years.  Due to new program requirements, FIA will now be conducting annual surveys and producing state assessment reports every 5 years.  
Linear interpolation was used for most years, including 1960 to 1963 based on 1950 data.  For 2007 and 2008, the trend from 1999 to 2006 was assumed to have continued.  For losses before 1960, it is assumed that 90% of Maryland was originally covered in forests, a conservative estimate.  Maryland has a land area of 9,773.82 miles, which is equal to 6,255,244 acres, thereby resulting in an estimated historical forest cover of 5,629,720 acres and a pre-1960 loss of 2,679,006 acres
</t>
    </r>
    <r>
      <rPr>
        <b/>
        <i/>
        <sz val="11"/>
        <rFont val="Verdana"/>
        <family val="2"/>
      </rPr>
      <t>Forest Cover Value</t>
    </r>
    <r>
      <rPr>
        <sz val="11"/>
        <rFont val="Verdana"/>
        <family val="2"/>
      </rPr>
      <t xml:space="preserve">
A value of $77 per acre/year is used by other studies, including Vermont and Ohio.  This seems extremely low considering the values used for farmland and wetlands.  The 2006 GPI study uses a value of $134 per acre, but quadruple it to account for passive use values.  All these values can be considered overly conservative considering current research.  Work by one of the foremost experts on ecosystem valuation shows a value of over $ 280 per hectare for carbon sequestration alone (Pearce 1994), and there are a multitude of studies that find significant values from Non Timber Forest Products to Recreation (Pearce 2001).  Adding median values in the ranges as presented by Pearce based on extensive literature studies leads to a value of $318.5.  While economic valuation never produces fully accurate point values, this can be considered an extremely conservative number, especially considering assumptions for wetlands used in this study.
</t>
    </r>
  </si>
  <si>
    <t>Indicator 14: Cost of Climate Change</t>
  </si>
  <si>
    <t>Costs of Climate Change (Billion 2000 $)</t>
  </si>
  <si>
    <t>CO2 from Coal (Tons)</t>
  </si>
  <si>
    <t>CO2 from Natural Gas (Tons)</t>
  </si>
  <si>
    <t>CO2 from Petroleum (Tons)</t>
  </si>
  <si>
    <t>CO2 from Wood and Waste (Tons)</t>
  </si>
  <si>
    <t>CO2 Total Emissions from Energy Consumption (Tons)</t>
  </si>
  <si>
    <t>Emissions Multiplied by Cost of Carbon</t>
    <phoneticPr fontId="0" type="noConversion"/>
  </si>
  <si>
    <t>Calculated Based on EIA Consumption Data</t>
    <phoneticPr fontId="0" type="noConversion"/>
  </si>
  <si>
    <t>Sum from Different Fossil Resources</t>
    <phoneticPr fontId="0" type="noConversion"/>
  </si>
  <si>
    <t>Based on Talberth 2006 and other Studies</t>
    <phoneticPr fontId="0" type="noConversion"/>
  </si>
  <si>
    <t>% change</t>
  </si>
  <si>
    <t>Coal Consumption  (Billion BTU)</t>
    <phoneticPr fontId="0" type="noConversion"/>
  </si>
  <si>
    <t>Natural Gas Consumption (Billion BTU)</t>
    <phoneticPr fontId="0" type="noConversion"/>
  </si>
  <si>
    <t>Petroleum Consumption (Billion BTU)</t>
    <phoneticPr fontId="0" type="noConversion"/>
  </si>
  <si>
    <t>Wood and Waste Consumption (Billion BTU)</t>
    <phoneticPr fontId="0" type="noConversion"/>
  </si>
  <si>
    <t>CO2 from Coal (Tons)</t>
    <phoneticPr fontId="0" type="noConversion"/>
  </si>
  <si>
    <t>CO2 from Natural Gas (Tons)</t>
    <phoneticPr fontId="0" type="noConversion"/>
  </si>
  <si>
    <t>CO2 from Petroleum (Tons)</t>
    <phoneticPr fontId="0" type="noConversion"/>
  </si>
  <si>
    <t>Cost per Ton of Carbon Dioxide (2000 $)</t>
  </si>
  <si>
    <t xml:space="preserve">                         </t>
  </si>
  <si>
    <t>From EIA State Energy Data System</t>
    <phoneticPr fontId="0" type="noConversion"/>
  </si>
  <si>
    <t>Calculated, explained below</t>
    <phoneticPr fontId="0" type="noConversion"/>
  </si>
  <si>
    <t>Based on Talberth 2006 and other Studies converted to cost per ton of CO2 from coster per ton Carbon</t>
  </si>
  <si>
    <t>(Carbon Dioxide Emissions based on Energy Consumption) Multiplied by (Cost of Carbon ($96 in 2007))</t>
  </si>
  <si>
    <r>
      <t>Climate Change Data</t>
    </r>
    <r>
      <rPr>
        <sz val="11"/>
        <rFont val="Verdana"/>
        <family val="2"/>
      </rPr>
      <t xml:space="preserve"> 
As a physical basis for calculations, Maryland took British Thermal Units (BTU) consumption values for Coal, Petroleum, Wood, Waste, and Natural Gas from the Energy Information Agency (EIA) State Energy Data System.
Using data from the EIA, average carbon intensities per BTU were used. While this is an approximation, it provides a relatively accurate and reasonably simple methodology for calculating emissions back to 1960.  For Petroleum, a value of 160 pounds CO2 per Million BTU were assumed, 120 for natural gas, 215 for coal, and 197 for waste.
For the calculations, the BTU Values in Billions were therefore multiplied by 1000, and the result in pounds taken times 0.00045359237 to arrive at metric tons of emissions.  Our calculations are based on CO2 only, thereby providing a low estimate since other greenhouse gases are of significant influence as well.
Because released data has a lag time of up to two years, the last two years of data are identical.
</t>
    </r>
    <r>
      <rPr>
        <b/>
        <i/>
        <sz val="11"/>
        <rFont val="Verdana"/>
        <family val="2"/>
      </rPr>
      <t>Climate Change Value</t>
    </r>
    <r>
      <rPr>
        <sz val="11"/>
        <rFont val="Verdana"/>
        <family val="2"/>
      </rPr>
      <t xml:space="preserve">
Following previous studies and a survey of the literature on carbon costs, we used a value per metric ton of carbon of $89.57 (2000) in 2004, and that this value increased since 1964 where the amount of CO2 carbon sinks such as forests or oceans can absorb was first crossed.
</t>
    </r>
  </si>
  <si>
    <t>http://cait.wri.org/cait-us.php?page=background&amp;from=yearly&amp;mode=view
http://www.eia.doe.gov/emeu/states/state.html?q_state_a=md&amp;q_state=MARYLAND
http://www.eia.doe.gov/oiaf/1605/coefficients.html</t>
    <phoneticPr fontId="0" type="noConversion"/>
  </si>
  <si>
    <t> 4–95</t>
  </si>
  <si>
    <t>Indicator 15: Cost of Ozone Depletion</t>
  </si>
  <si>
    <t>Maryland Cost of Ozone Depletion (Billion $)</t>
  </si>
  <si>
    <t>Calculated, National Costs Scaled by Population</t>
  </si>
  <si>
    <t>Fom National GPI Study</t>
  </si>
  <si>
    <t>From Population Sheet</t>
  </si>
  <si>
    <t>USA Cost of Ozone Depletion (Billion $)</t>
  </si>
  <si>
    <t>Mean atmospheric concentration of CFCs (11,12,113)</t>
  </si>
  <si>
    <t>Percentage of peak CFC concentration</t>
  </si>
  <si>
    <t>Population US (Thousands)</t>
    <phoneticPr fontId="0" type="noConversion"/>
  </si>
  <si>
    <t>Population Maryland (Thousands)</t>
  </si>
  <si>
    <t>Calculated, National Costs Scaled by Population</t>
    <phoneticPr fontId="0" type="noConversion"/>
  </si>
  <si>
    <t>Fom National GPI Study</t>
    <phoneticPr fontId="0" type="noConversion"/>
  </si>
  <si>
    <t>Carbon Dioxide Information Analysis Center http://cdiac.ornl.gov/pns/current_ghg.html</t>
  </si>
  <si>
    <t>From Population Sheet</t>
    <phoneticPr fontId="0" type="noConversion"/>
  </si>
  <si>
    <t>(Cumulative Tons of Emissions of Chlorofluorocarbons (CFCs) Caused in Maryland (Based on National Average)) Multiplied by $49,669</t>
  </si>
  <si>
    <t xml:space="preserve">There were very little useful data on the Ozone Damage caused by emissions of CFCs specifically in Maryland. Even if State data were available, it would be difficult to accept since where emissions take place might not be responsible if emissions sources were created in producing goods consumed somewhere else.  Accordingly, damage figures from the national GPI study were adopted and scaled by the ratio of Maryland Population to US Population. National numbers were calculated using data from the Alternative Fluorocarbons Environmental Acceptability Study (AFEAS), the U.S. Environmental Protection Agency, the United Nations Envrionmental Programme and the U.S. Congress and multiplying cumulative emissions by $49,669, the same value used in the National GPI Report.  Since national GPI numbers were only calculated until 2004, CFC emission data were reviewed. However the responsibilities for monitoring programs have shifted, making some data unavailable. United Nations Environmental Program data showed unrealistic fluctuations from year to year, making it unsuitable. This made it neccesary to assume that national damages have remained constant since 2004, which the Working Group agreed is an acceptable assumption with CFC emissions being strictly regulated.
</t>
  </si>
  <si>
    <t>Why is the cost incurred every year?</t>
  </si>
  <si>
    <t>Prinn, R.G., R.F. Weiss, P.J. Fraser, P.G. Simmonds, D.M. Cunnold,</t>
  </si>
  <si>
    <t>F.N. Alyea, S. O'Doherty, P. Salameh, B.R. Miller, J. Huang, R.H.J. Wang,</t>
  </si>
  <si>
    <t>D.E. Hartley, C. Harth, L.P. Steele, G.  Sturrock, P.M. Midgley, and</t>
  </si>
  <si>
    <t>A. McCulloch, A History of Chemically and Radiatively Important Gases in</t>
  </si>
  <si>
    <t>Air deduced from ALE/GAGE/AGAGE, J. Geophys. Res., 105, 17,751-17,792,</t>
  </si>
  <si>
    <t>Indicator 16: Cost of Nonrenewable Energy Resources Depletion</t>
  </si>
  <si>
    <t>Cost of Nonrenewable Energy Resources Depletion (Billion 2000 $)</t>
  </si>
  <si>
    <t>Coal Consumed (Billion BTU)</t>
  </si>
  <si>
    <t>Natural Gas Consumed (Billion BTU)</t>
  </si>
  <si>
    <t>Petroleum Products Consumed (Billion BTU)</t>
  </si>
  <si>
    <t>Replacement Costs Outside Electrical Sector  (2000 $)</t>
  </si>
  <si>
    <t>Replacement Costs Electrical Sector (2000 $)</t>
  </si>
  <si>
    <t>Replacement Costs Inside and Outside the Electrical Sector</t>
    <phoneticPr fontId="0" type="noConversion"/>
  </si>
  <si>
    <t>Energy Information Administration</t>
    <phoneticPr fontId="0" type="noConversion"/>
  </si>
  <si>
    <t>Cost of Replacement  by Biofuels</t>
    <phoneticPr fontId="0" type="noConversion"/>
  </si>
  <si>
    <t>Cost of Replacement  by Solar Energy</t>
    <phoneticPr fontId="0" type="noConversion"/>
  </si>
  <si>
    <t>Replacement Costs (Billion 2000 $)</t>
  </si>
  <si>
    <t>Coal Consumed (Billion BTU)</t>
    <phoneticPr fontId="0" type="noConversion"/>
  </si>
  <si>
    <t>Natural Gas Consumed (Billion BTU)</t>
    <phoneticPr fontId="0" type="noConversion"/>
  </si>
  <si>
    <t>Petroleum Products Consumed (Billion BTU)</t>
    <phoneticPr fontId="0" type="noConversion"/>
  </si>
  <si>
    <t>Coal consumed by Electrical Sector (Billion BTU)</t>
    <phoneticPr fontId="0" type="noConversion"/>
  </si>
  <si>
    <t>Natural Gas Consumed by Electrical Sector (Billion BTU)</t>
    <phoneticPr fontId="0" type="noConversion"/>
  </si>
  <si>
    <t>Petroleum Products Consumed by Electrical Sector(Billion BTU)</t>
    <phoneticPr fontId="0" type="noConversion"/>
  </si>
  <si>
    <t>Coal consumed outside the Electrical Sector (Billion BTU)</t>
    <phoneticPr fontId="0" type="noConversion"/>
  </si>
  <si>
    <t>Natural Gas Consumed outside the Electrical Sector (Billion BTU)</t>
    <phoneticPr fontId="0" type="noConversion"/>
  </si>
  <si>
    <t>Petroleum Products Consumed outside the Electrical Sector (Billion BTU)</t>
    <phoneticPr fontId="0" type="noConversion"/>
  </si>
  <si>
    <t>Coal consumed outside the Electrical Sector (Barrel Equivalent)</t>
    <phoneticPr fontId="0" type="noConversion"/>
  </si>
  <si>
    <t>Natural Gas Consumed outside the Electrical Sector (Barrel Equivalent)</t>
    <phoneticPr fontId="0" type="noConversion"/>
  </si>
  <si>
    <t>Petroleum Products Consumed outside the Electrical Sector (Barrel Equivalent)</t>
    <phoneticPr fontId="0" type="noConversion"/>
  </si>
  <si>
    <t>Energy Consumption outside the Electrical Sector (Barrel Equivalent)</t>
    <phoneticPr fontId="0" type="noConversion"/>
  </si>
  <si>
    <t>Replacement Costs Outside Electrical Sector  (2000 $)</t>
    <phoneticPr fontId="0" type="noConversion"/>
  </si>
  <si>
    <t>Total Electricity Consumed (Million Kilowatthours)</t>
    <phoneticPr fontId="0" type="noConversion"/>
  </si>
  <si>
    <t>Electricity from Hydroelectric Energy (Million Kilowatthours)</t>
    <phoneticPr fontId="0" type="noConversion"/>
  </si>
  <si>
    <t>Non-Renewable Electricity Consumed (Milion Kilowatthours)</t>
    <phoneticPr fontId="0" type="noConversion"/>
  </si>
  <si>
    <t>Replacement Costs Electrical Sector (2000 $)</t>
    <phoneticPr fontId="0" type="noConversion"/>
  </si>
  <si>
    <t>2011 &amp; 2012 Are Same</t>
  </si>
  <si>
    <t>Calculated</t>
    <phoneticPr fontId="0" type="noConversion"/>
  </si>
  <si>
    <t>http://www.eia.doe.gov/emeu/states/state.html?q_state_a=md&amp;q_state=MARYLAND</t>
  </si>
  <si>
    <t>Calculated, Electricity Sector Subtracted from Other Sectors</t>
    <phoneticPr fontId="0" type="noConversion"/>
  </si>
  <si>
    <t>Converted, 5800000 BTU per Barrel Equivalent</t>
    <phoneticPr fontId="0" type="noConversion"/>
  </si>
  <si>
    <t>Calculated, Sum of Above</t>
    <phoneticPr fontId="0" type="noConversion"/>
  </si>
  <si>
    <t>Calculated, 116 Dollar per Barrel Equivalent</t>
    <phoneticPr fontId="0" type="noConversion"/>
  </si>
  <si>
    <t>Calculated, Total Electricity minus Hydroelectric</t>
    <phoneticPr fontId="0" type="noConversion"/>
  </si>
  <si>
    <t>Calculated, 8.75 Cent per kwh</t>
    <phoneticPr fontId="0" type="noConversion"/>
  </si>
  <si>
    <t>(Energy Consumption) Multiplied by (Costs of Replacement through Alternative Sources (biofuel, win, solar))</t>
  </si>
  <si>
    <t xml:space="preserve">
A replacement cost approach is used, because sooner or later fossil fuel will run out and need to be replaced by renewable energy sources.  Makhijani (2007) estimates the cost of replacing energy from wind and solar energy (50/50 mix) at 8.75 cents per kilowatthour and $116 for replacement with biofuels (per barrel equivalent).  The solar/wind price is applied to the electricity from consumed in Maryland, the biofuel costs are used for replacing all other uses of fossil fuels (transportation, industry, etc.).  Data was taken from records kept by the Energy Information Administration (EIA) and converted as necessary. 
Electrical power from hydroelectric generation is not included, as this is already renewable. Other forms of alternative power generation are not included in the calculations because they are not present at a significant level in Maryland and are not captured by EIA statistics; including solar, wind, and geothermal power.  In this region, only hydroelectric power plays a significant role.
Because of the considerable lag time for data release of air emissions (up to two years), the two previous years’ data are identical and then updated the following year.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</si>
</sst>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0.000000"/>
    <numFmt numFmtId="165" formatCode="#,##0.000"/>
    <numFmt numFmtId="166" formatCode="#,##0.0000"/>
    <numFmt numFmtId="167" formatCode="0.000"/>
    <numFmt numFmtId="168" formatCode="0.000000000"/>
    <numFmt numFmtId="169" formatCode="_(* #,##0_);_(* \(#,##0\);_(* &quot;-&quot;??_);_(@_)"/>
    <numFmt numFmtId="170" formatCode="#,##0.0_);\(#,##0.0\)"/>
    <numFmt numFmtId="171" formatCode="#,##0.0"/>
    <numFmt numFmtId="172" formatCode="_(* #,##0.000_);_(* \(#,##0.000\);_(* &quot;-&quot;??_);_(@_)"/>
  </numFmts>
  <fonts count="16" x14ac:knownFonts="1">
    <font>
      <sz val="10"/>
      <name val="Verdana"/>
    </font>
    <font>
      <sz val="14"/>
      <name val="Verdana"/>
      <family val="2"/>
    </font>
    <font>
      <sz val="11"/>
      <name val="Verdana"/>
      <family val="2"/>
    </font>
    <font>
      <b/>
      <sz val="11"/>
      <name val="Verdana"/>
      <family val="2"/>
    </font>
    <font>
      <sz val="10"/>
      <name val="Verdana"/>
      <family val="2"/>
    </font>
    <font>
      <b/>
      <sz val="11"/>
      <color indexed="9"/>
      <name val="Verdana"/>
      <family val="2"/>
    </font>
    <font>
      <sz val="12"/>
      <name val="Verdana"/>
      <family val="2"/>
    </font>
    <font>
      <b/>
      <i/>
      <sz val="11"/>
      <name val="Verdana"/>
      <family val="2"/>
    </font>
    <font>
      <sz val="10"/>
      <name val="Arial"/>
      <family val="2"/>
    </font>
    <font>
      <b/>
      <sz val="11"/>
      <color rgb="FFFF0000"/>
      <name val="Verdana"/>
      <family val="2"/>
    </font>
    <font>
      <sz val="11"/>
      <color indexed="9"/>
      <name val="Verdana"/>
      <family val="2"/>
    </font>
    <font>
      <u/>
      <sz val="10"/>
      <color indexed="12"/>
      <name val="Verdana"/>
      <family val="2"/>
    </font>
    <font>
      <sz val="6"/>
      <color rgb="FF000000"/>
      <name val="Arial"/>
      <family val="2"/>
    </font>
    <font>
      <b/>
      <sz val="9"/>
      <color indexed="81"/>
      <name val="Tahoma"/>
      <family val="2"/>
    </font>
    <font>
      <sz val="9"/>
      <color indexed="81"/>
      <name val="Tahoma"/>
      <family val="2"/>
    </font>
    <font>
      <sz val="11"/>
      <color indexed="8"/>
      <name val="Verdana"/>
      <family val="2"/>
    </font>
  </fonts>
  <fills count="17">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5"/>
        <bgColor indexed="64"/>
      </patternFill>
    </fill>
    <fill>
      <patternFill patternType="solid">
        <fgColor rgb="FFFF99CC"/>
        <bgColor indexed="64"/>
      </patternFill>
    </fill>
    <fill>
      <patternFill patternType="solid">
        <fgColor rgb="FFCCFFCC"/>
        <bgColor indexed="64"/>
      </patternFill>
    </fill>
    <fill>
      <patternFill patternType="solid">
        <fgColor indexed="55"/>
        <bgColor indexed="64"/>
      </patternFill>
    </fill>
    <fill>
      <patternFill patternType="solid">
        <fgColor indexed="9"/>
        <bgColor indexed="64"/>
      </patternFill>
    </fill>
    <fill>
      <patternFill patternType="solid">
        <fgColor indexed="4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41"/>
        <bgColor indexed="51"/>
      </patternFill>
    </fill>
  </fills>
  <borders count="5">
    <border>
      <left/>
      <right/>
      <top/>
      <bottom/>
      <diagonal/>
    </border>
    <border>
      <left/>
      <right/>
      <top/>
      <bottom style="thick">
        <color indexed="2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43" fontId="4" fillId="0" borderId="0" applyFont="0" applyFill="0" applyBorder="0" applyAlignment="0" applyProtection="0"/>
    <xf numFmtId="0" fontId="4" fillId="0" borderId="0"/>
    <xf numFmtId="0" fontId="8" fillId="0" borderId="0"/>
    <xf numFmtId="0" fontId="11" fillId="0" borderId="0" applyNumberFormat="0" applyFill="0" applyBorder="0" applyAlignment="0" applyProtection="0">
      <alignment vertical="top"/>
      <protection locked="0"/>
    </xf>
    <xf numFmtId="43" fontId="4" fillId="0" borderId="0" applyFont="0" applyFill="0" applyBorder="0" applyAlignment="0" applyProtection="0"/>
    <xf numFmtId="0" fontId="11" fillId="0" borderId="0" applyNumberFormat="0" applyFill="0" applyBorder="0" applyAlignment="0" applyProtection="0">
      <alignment vertical="top"/>
      <protection locked="0"/>
    </xf>
    <xf numFmtId="0" fontId="8" fillId="0" borderId="0"/>
    <xf numFmtId="0" fontId="8" fillId="0" borderId="0"/>
  </cellStyleXfs>
  <cellXfs count="154">
    <xf numFmtId="0" fontId="0" fillId="0" borderId="0" xfId="0"/>
    <xf numFmtId="0" fontId="1" fillId="0" borderId="1" xfId="0" applyFont="1" applyBorder="1"/>
    <xf numFmtId="0" fontId="2" fillId="0" borderId="1" xfId="0" applyFont="1" applyBorder="1"/>
    <xf numFmtId="2" fontId="2" fillId="0" borderId="1" xfId="0" applyNumberFormat="1" applyFont="1" applyFill="1" applyBorder="1"/>
    <xf numFmtId="0" fontId="3" fillId="2" borderId="0" xfId="0" applyFont="1" applyFill="1" applyAlignment="1">
      <alignment horizontal="center"/>
    </xf>
    <xf numFmtId="0" fontId="3" fillId="2" borderId="0" xfId="0" applyFont="1" applyFill="1" applyAlignment="1">
      <alignment horizontal="right"/>
    </xf>
    <xf numFmtId="1" fontId="3" fillId="0" borderId="0" xfId="0" applyNumberFormat="1" applyFont="1" applyFill="1" applyAlignment="1">
      <alignment horizontal="center"/>
    </xf>
    <xf numFmtId="0" fontId="2" fillId="0" borderId="0" xfId="0" applyFont="1"/>
    <xf numFmtId="2" fontId="2" fillId="0" borderId="0" xfId="0" applyNumberFormat="1" applyFont="1" applyFill="1"/>
    <xf numFmtId="0" fontId="2" fillId="0" borderId="0" xfId="0" applyNumberFormat="1" applyFont="1"/>
    <xf numFmtId="2" fontId="2" fillId="0" borderId="0" xfId="0" applyNumberFormat="1" applyFont="1"/>
    <xf numFmtId="0" fontId="2" fillId="4" borderId="0" xfId="0" applyFont="1" applyFill="1"/>
    <xf numFmtId="0" fontId="2" fillId="5" borderId="0" xfId="0" applyFont="1" applyFill="1"/>
    <xf numFmtId="0" fontId="2" fillId="0" borderId="0" xfId="0" applyFont="1" applyFill="1"/>
    <xf numFmtId="3" fontId="2" fillId="0" borderId="0" xfId="0" applyNumberFormat="1" applyFont="1"/>
    <xf numFmtId="0" fontId="2" fillId="0" borderId="0" xfId="0" applyFont="1" applyAlignment="1">
      <alignment vertical="top" wrapText="1"/>
    </xf>
    <xf numFmtId="2" fontId="0" fillId="0" borderId="0" xfId="0" applyNumberFormat="1" applyFill="1"/>
    <xf numFmtId="0" fontId="2" fillId="0" borderId="0" xfId="0" applyFont="1" applyAlignment="1">
      <alignment horizontal="right"/>
    </xf>
    <xf numFmtId="16" fontId="2" fillId="0" borderId="0" xfId="0" applyNumberFormat="1" applyFont="1" applyAlignment="1">
      <alignment horizontal="right"/>
    </xf>
    <xf numFmtId="0" fontId="2" fillId="0" borderId="0" xfId="0" applyFont="1" applyAlignment="1">
      <alignment wrapText="1"/>
    </xf>
    <xf numFmtId="0" fontId="3" fillId="0" borderId="0" xfId="0" applyFont="1"/>
    <xf numFmtId="164" fontId="2" fillId="0" borderId="0" xfId="0" applyNumberFormat="1" applyFont="1"/>
    <xf numFmtId="165" fontId="2" fillId="0" borderId="0" xfId="0" applyNumberFormat="1" applyFont="1"/>
    <xf numFmtId="0" fontId="2" fillId="6" borderId="0" xfId="0" applyFont="1" applyFill="1"/>
    <xf numFmtId="1" fontId="1" fillId="0" borderId="1" xfId="0" applyNumberFormat="1" applyFont="1" applyBorder="1"/>
    <xf numFmtId="1" fontId="3" fillId="2" borderId="0" xfId="0" applyNumberFormat="1" applyFont="1" applyFill="1" applyAlignment="1">
      <alignment horizontal="center"/>
    </xf>
    <xf numFmtId="1" fontId="2" fillId="0" borderId="0" xfId="0" applyNumberFormat="1" applyFont="1" applyFill="1"/>
    <xf numFmtId="0" fontId="2" fillId="0" borderId="0" xfId="0" applyFont="1" applyFill="1" applyAlignment="1">
      <alignment horizontal="left"/>
    </xf>
    <xf numFmtId="3" fontId="2" fillId="0" borderId="0" xfId="0" applyNumberFormat="1" applyFont="1" applyFill="1"/>
    <xf numFmtId="0" fontId="2" fillId="0" borderId="0" xfId="0" applyFont="1" applyFill="1" applyAlignment="1">
      <alignment horizontal="right"/>
    </xf>
    <xf numFmtId="0" fontId="5" fillId="0" borderId="0" xfId="0" applyFont="1" applyFill="1"/>
    <xf numFmtId="1" fontId="2" fillId="0" borderId="0" xfId="0" applyNumberFormat="1" applyFont="1"/>
    <xf numFmtId="1" fontId="2" fillId="4" borderId="0" xfId="0" applyNumberFormat="1" applyFont="1" applyFill="1"/>
    <xf numFmtId="0" fontId="0" fillId="4" borderId="0" xfId="0" applyFill="1"/>
    <xf numFmtId="1" fontId="2" fillId="5" borderId="0" xfId="0" applyNumberFormat="1" applyFont="1" applyFill="1"/>
    <xf numFmtId="0" fontId="0" fillId="5" borderId="0" xfId="0" applyFill="1"/>
    <xf numFmtId="1" fontId="2" fillId="7" borderId="0" xfId="0" applyNumberFormat="1" applyFont="1" applyFill="1"/>
    <xf numFmtId="0" fontId="2" fillId="7" borderId="0" xfId="0" applyFont="1" applyFill="1"/>
    <xf numFmtId="0" fontId="0" fillId="7" borderId="0" xfId="0" applyFill="1"/>
    <xf numFmtId="4" fontId="2" fillId="5" borderId="0" xfId="0" applyNumberFormat="1" applyFont="1" applyFill="1"/>
    <xf numFmtId="4" fontId="0" fillId="5" borderId="0" xfId="0" applyNumberFormat="1" applyFill="1"/>
    <xf numFmtId="3" fontId="2" fillId="5" borderId="0" xfId="0" applyNumberFormat="1" applyFont="1" applyFill="1"/>
    <xf numFmtId="3" fontId="0" fillId="5" borderId="0" xfId="0" applyNumberFormat="1" applyFill="1"/>
    <xf numFmtId="1" fontId="0" fillId="0" borderId="0" xfId="0" applyNumberFormat="1"/>
    <xf numFmtId="0" fontId="3" fillId="8" borderId="0" xfId="0" applyFont="1" applyFill="1" applyAlignment="1">
      <alignment horizontal="center"/>
    </xf>
    <xf numFmtId="0" fontId="2" fillId="8" borderId="0" xfId="0" applyFont="1" applyFill="1"/>
    <xf numFmtId="3" fontId="2" fillId="8" borderId="0" xfId="0" applyNumberFormat="1" applyFont="1" applyFill="1"/>
    <xf numFmtId="3" fontId="6" fillId="0" borderId="0" xfId="0" applyNumberFormat="1" applyFont="1"/>
    <xf numFmtId="1" fontId="2" fillId="9" borderId="0" xfId="0" applyNumberFormat="1" applyFont="1" applyFill="1"/>
    <xf numFmtId="0" fontId="2" fillId="10" borderId="0" xfId="0" applyFont="1" applyFill="1"/>
    <xf numFmtId="0" fontId="6" fillId="0" borderId="0" xfId="0" applyFont="1"/>
    <xf numFmtId="166" fontId="2" fillId="0" borderId="0" xfId="0" applyNumberFormat="1" applyFont="1"/>
    <xf numFmtId="167" fontId="2" fillId="0" borderId="0" xfId="0" applyNumberFormat="1" applyFont="1"/>
    <xf numFmtId="0" fontId="3" fillId="2" borderId="0" xfId="2" applyFont="1" applyFill="1" applyAlignment="1">
      <alignment horizontal="center"/>
    </xf>
    <xf numFmtId="0" fontId="2" fillId="5" borderId="0" xfId="3" applyFont="1" applyFill="1"/>
    <xf numFmtId="166" fontId="2" fillId="5" borderId="0" xfId="0" applyNumberFormat="1" applyFont="1" applyFill="1"/>
    <xf numFmtId="166" fontId="2" fillId="4" borderId="0" xfId="0" applyNumberFormat="1" applyFont="1" applyFill="1"/>
    <xf numFmtId="4" fontId="2" fillId="4" borderId="0" xfId="0" applyNumberFormat="1" applyFont="1" applyFill="1"/>
    <xf numFmtId="0" fontId="2" fillId="0" borderId="0" xfId="0" applyNumberFormat="1" applyFont="1" applyFill="1"/>
    <xf numFmtId="168" fontId="2" fillId="0" borderId="0" xfId="0" applyNumberFormat="1" applyFont="1" applyFill="1"/>
    <xf numFmtId="3" fontId="2" fillId="11" borderId="0" xfId="0" applyNumberFormat="1" applyFont="1" applyFill="1"/>
    <xf numFmtId="0" fontId="2" fillId="0" borderId="0" xfId="2" applyFont="1" applyFill="1"/>
    <xf numFmtId="0" fontId="2" fillId="4" borderId="0" xfId="0" applyNumberFormat="1" applyFont="1" applyFill="1"/>
    <xf numFmtId="168" fontId="2" fillId="4" borderId="0" xfId="0" applyNumberFormat="1" applyFont="1" applyFill="1"/>
    <xf numFmtId="3" fontId="2" fillId="7" borderId="0" xfId="0" applyNumberFormat="1" applyFont="1" applyFill="1"/>
    <xf numFmtId="3" fontId="2" fillId="6" borderId="0" xfId="0" applyNumberFormat="1" applyFont="1" applyFill="1"/>
    <xf numFmtId="0" fontId="9" fillId="12" borderId="0" xfId="0" applyFont="1" applyFill="1"/>
    <xf numFmtId="0" fontId="2" fillId="12" borderId="0" xfId="0" applyFont="1" applyFill="1"/>
    <xf numFmtId="0" fontId="10" fillId="0" borderId="0" xfId="0" applyFont="1" applyFill="1"/>
    <xf numFmtId="4" fontId="1" fillId="0" borderId="1" xfId="0" applyNumberFormat="1" applyFont="1" applyBorder="1"/>
    <xf numFmtId="4" fontId="2" fillId="0" borderId="1" xfId="0" applyNumberFormat="1" applyFont="1" applyBorder="1"/>
    <xf numFmtId="1" fontId="3" fillId="2" borderId="0" xfId="0" applyNumberFormat="1" applyFont="1" applyFill="1" applyAlignment="1">
      <alignment horizontal="right"/>
    </xf>
    <xf numFmtId="164" fontId="2" fillId="0" borderId="0" xfId="0" applyNumberFormat="1" applyFont="1" applyFill="1"/>
    <xf numFmtId="4" fontId="2" fillId="0" borderId="0" xfId="0" applyNumberFormat="1" applyFont="1"/>
    <xf numFmtId="4" fontId="2" fillId="0" borderId="0" xfId="0" applyNumberFormat="1" applyFont="1" applyFill="1"/>
    <xf numFmtId="0" fontId="9" fillId="0" borderId="0" xfId="0" applyFont="1"/>
    <xf numFmtId="3" fontId="2" fillId="4" borderId="0" xfId="0" applyNumberFormat="1" applyFont="1" applyFill="1"/>
    <xf numFmtId="39" fontId="2" fillId="0" borderId="2" xfId="1" applyNumberFormat="1" applyFont="1" applyFill="1" applyBorder="1"/>
    <xf numFmtId="2" fontId="2" fillId="5" borderId="0" xfId="0" applyNumberFormat="1" applyFont="1" applyFill="1"/>
    <xf numFmtId="2" fontId="2" fillId="13" borderId="0" xfId="0" applyNumberFormat="1" applyFont="1" applyFill="1"/>
    <xf numFmtId="169" fontId="2" fillId="13" borderId="0" xfId="1" applyNumberFormat="1" applyFont="1" applyFill="1"/>
    <xf numFmtId="43" fontId="2" fillId="0" borderId="3" xfId="1" applyFont="1" applyFill="1" applyBorder="1"/>
    <xf numFmtId="10" fontId="2" fillId="5" borderId="0" xfId="0" applyNumberFormat="1" applyFont="1" applyFill="1"/>
    <xf numFmtId="2" fontId="2" fillId="14" borderId="0" xfId="0" applyNumberFormat="1" applyFont="1" applyFill="1"/>
    <xf numFmtId="165" fontId="2" fillId="4" borderId="0" xfId="0" applyNumberFormat="1" applyFont="1" applyFill="1"/>
    <xf numFmtId="43" fontId="2" fillId="6" borderId="0" xfId="0" applyNumberFormat="1" applyFont="1" applyFill="1"/>
    <xf numFmtId="43" fontId="2" fillId="0" borderId="3" xfId="0" applyNumberFormat="1" applyFont="1" applyFill="1" applyBorder="1"/>
    <xf numFmtId="43" fontId="2" fillId="15" borderId="0" xfId="1" applyFont="1" applyFill="1"/>
    <xf numFmtId="170" fontId="2" fillId="0" borderId="0" xfId="0" applyNumberFormat="1" applyFont="1"/>
    <xf numFmtId="171" fontId="2" fillId="0" borderId="0" xfId="0" applyNumberFormat="1" applyFont="1"/>
    <xf numFmtId="0" fontId="12" fillId="0" borderId="0" xfId="0" applyFont="1"/>
    <xf numFmtId="0" fontId="2" fillId="0" borderId="0" xfId="0" applyFont="1" applyAlignment="1">
      <alignment vertical="center"/>
    </xf>
    <xf numFmtId="43" fontId="2" fillId="0" borderId="0" xfId="1" applyFont="1" applyAlignment="1">
      <alignment vertical="center"/>
    </xf>
    <xf numFmtId="0" fontId="2" fillId="13" borderId="0" xfId="0" applyFont="1" applyFill="1" applyAlignment="1">
      <alignment vertical="center"/>
    </xf>
    <xf numFmtId="43" fontId="2" fillId="13" borderId="0" xfId="0" applyNumberFormat="1" applyFont="1" applyFill="1" applyAlignment="1">
      <alignment vertical="center"/>
    </xf>
    <xf numFmtId="43" fontId="2" fillId="13" borderId="0" xfId="1" applyFont="1" applyFill="1" applyAlignment="1">
      <alignment vertical="center"/>
    </xf>
    <xf numFmtId="0" fontId="2" fillId="13" borderId="0" xfId="0" applyFont="1" applyFill="1" applyAlignment="1">
      <alignment horizontal="right" vertical="center"/>
    </xf>
    <xf numFmtId="2" fontId="15" fillId="13" borderId="0" xfId="0" applyNumberFormat="1" applyFont="1" applyFill="1" applyAlignment="1">
      <alignment horizontal="left" vertical="center"/>
    </xf>
    <xf numFmtId="0" fontId="15" fillId="6" borderId="0" xfId="0" applyNumberFormat="1" applyFont="1" applyFill="1" applyAlignment="1">
      <alignment horizontal="right"/>
    </xf>
    <xf numFmtId="43" fontId="15" fillId="13" borderId="0" xfId="1" applyFont="1" applyFill="1" applyAlignment="1">
      <alignment horizontal="right" vertical="center"/>
    </xf>
    <xf numFmtId="0" fontId="2" fillId="15" borderId="0" xfId="0" applyFont="1" applyFill="1" applyAlignment="1">
      <alignment horizontal="right" vertical="center"/>
    </xf>
    <xf numFmtId="2" fontId="15" fillId="15" borderId="0" xfId="0" applyNumberFormat="1" applyFont="1" applyFill="1" applyAlignment="1">
      <alignment horizontal="left" vertical="center"/>
    </xf>
    <xf numFmtId="43" fontId="15" fillId="15" borderId="0" xfId="0" applyNumberFormat="1" applyFont="1" applyFill="1" applyAlignment="1">
      <alignment horizontal="right" vertical="center"/>
    </xf>
    <xf numFmtId="43" fontId="15" fillId="15" borderId="0" xfId="1" applyFont="1" applyFill="1" applyAlignment="1">
      <alignment horizontal="right" vertical="center"/>
    </xf>
    <xf numFmtId="43" fontId="2" fillId="15" borderId="0" xfId="1" applyFont="1" applyFill="1" applyAlignment="1">
      <alignment horizontal="right" vertical="center"/>
    </xf>
    <xf numFmtId="43" fontId="15" fillId="13" borderId="0" xfId="0" applyNumberFormat="1" applyFont="1" applyFill="1" applyAlignment="1">
      <alignment horizontal="right" vertical="center"/>
    </xf>
    <xf numFmtId="172" fontId="15" fillId="13" borderId="0" xfId="1" applyNumberFormat="1" applyFont="1" applyFill="1" applyAlignment="1">
      <alignment horizontal="right" vertical="center"/>
    </xf>
    <xf numFmtId="0" fontId="2" fillId="15" borderId="0" xfId="0" applyFont="1" applyFill="1" applyAlignment="1">
      <alignment vertical="center"/>
    </xf>
    <xf numFmtId="3" fontId="2" fillId="15" borderId="0" xfId="0" applyNumberFormat="1" applyFont="1" applyFill="1" applyAlignment="1">
      <alignment vertical="center"/>
    </xf>
    <xf numFmtId="0" fontId="2" fillId="0" borderId="0" xfId="0" applyFont="1" applyFill="1" applyAlignment="1">
      <alignment vertical="center"/>
    </xf>
    <xf numFmtId="3" fontId="2" fillId="0" borderId="0" xfId="0" applyNumberFormat="1" applyFont="1" applyFill="1" applyAlignment="1">
      <alignment vertical="center"/>
    </xf>
    <xf numFmtId="0" fontId="11" fillId="0" borderId="0" xfId="4" applyAlignment="1" applyProtection="1"/>
    <xf numFmtId="164" fontId="2" fillId="7" borderId="0" xfId="0" applyNumberFormat="1" applyFont="1" applyFill="1"/>
    <xf numFmtId="164" fontId="2" fillId="7" borderId="0" xfId="1" applyNumberFormat="1" applyFont="1" applyFill="1"/>
    <xf numFmtId="2" fontId="2" fillId="7" borderId="0" xfId="0" applyNumberFormat="1" applyFont="1" applyFill="1"/>
    <xf numFmtId="4" fontId="2" fillId="7" borderId="0" xfId="0" applyNumberFormat="1" applyFont="1" applyFill="1"/>
    <xf numFmtId="3" fontId="2" fillId="7" borderId="0" xfId="1" applyNumberFormat="1" applyFont="1" applyFill="1"/>
    <xf numFmtId="10" fontId="2" fillId="4" borderId="0" xfId="0" applyNumberFormat="1" applyFont="1" applyFill="1"/>
    <xf numFmtId="11" fontId="2" fillId="4" borderId="0" xfId="0" applyNumberFormat="1" applyFont="1" applyFill="1"/>
    <xf numFmtId="2" fontId="2" fillId="6" borderId="0" xfId="2" applyNumberFormat="1" applyFont="1" applyFill="1"/>
    <xf numFmtId="4" fontId="2" fillId="6" borderId="0" xfId="2" applyNumberFormat="1" applyFont="1" applyFill="1"/>
    <xf numFmtId="0" fontId="2" fillId="0" borderId="3" xfId="0" applyFont="1" applyFill="1" applyBorder="1"/>
    <xf numFmtId="11" fontId="2" fillId="5" borderId="0" xfId="0" applyNumberFormat="1" applyFont="1" applyFill="1"/>
    <xf numFmtId="4" fontId="2" fillId="6" borderId="0" xfId="0" applyNumberFormat="1" applyFont="1" applyFill="1"/>
    <xf numFmtId="169" fontId="2" fillId="0" borderId="3" xfId="1" applyNumberFormat="1" applyFont="1" applyFill="1" applyBorder="1"/>
    <xf numFmtId="43" fontId="2" fillId="0" borderId="3" xfId="1" applyNumberFormat="1" applyFont="1" applyFill="1" applyBorder="1"/>
    <xf numFmtId="169" fontId="2" fillId="0" borderId="4" xfId="1" applyNumberFormat="1" applyFont="1" applyFill="1" applyBorder="1"/>
    <xf numFmtId="11" fontId="2" fillId="0" borderId="0" xfId="0" applyNumberFormat="1" applyFont="1"/>
    <xf numFmtId="0" fontId="2" fillId="0" borderId="0" xfId="0" applyFont="1" applyAlignment="1"/>
    <xf numFmtId="0" fontId="2" fillId="0" borderId="0" xfId="0" applyFont="1" applyAlignment="1">
      <alignment vertical="top" wrapText="1"/>
    </xf>
    <xf numFmtId="0" fontId="3" fillId="3" borderId="0" xfId="0" applyFont="1" applyFill="1" applyAlignment="1">
      <alignment horizontal="center"/>
    </xf>
    <xf numFmtId="0" fontId="0" fillId="3" borderId="0" xfId="0" applyFill="1" applyAlignment="1">
      <alignment horizontal="center"/>
    </xf>
    <xf numFmtId="0" fontId="2" fillId="0" borderId="0" xfId="0" applyFont="1" applyAlignment="1">
      <alignment vertical="top"/>
    </xf>
    <xf numFmtId="0" fontId="2" fillId="0" borderId="0" xfId="0" applyFont="1" applyFill="1" applyAlignment="1">
      <alignment wrapText="1"/>
    </xf>
    <xf numFmtId="0" fontId="0" fillId="0" borderId="0" xfId="0" applyFill="1" applyAlignment="1">
      <alignment wrapText="1"/>
    </xf>
    <xf numFmtId="0" fontId="3" fillId="3" borderId="0" xfId="0" applyFont="1" applyFill="1" applyAlignment="1"/>
    <xf numFmtId="0" fontId="0" fillId="3" borderId="0" xfId="0" applyFill="1" applyAlignment="1"/>
    <xf numFmtId="0" fontId="2" fillId="0" borderId="0" xfId="0" applyFont="1" applyFill="1" applyAlignment="1">
      <alignment vertical="top" wrapText="1"/>
    </xf>
    <xf numFmtId="0" fontId="4" fillId="0" borderId="0" xfId="0" applyFont="1" applyFill="1" applyAlignment="1">
      <alignment wrapText="1"/>
    </xf>
    <xf numFmtId="0" fontId="5" fillId="0" borderId="0" xfId="0" applyFont="1" applyFill="1" applyAlignment="1">
      <alignment wrapText="1"/>
    </xf>
    <xf numFmtId="0" fontId="7" fillId="0" borderId="0" xfId="0" applyFont="1" applyFill="1" applyAlignment="1">
      <alignment vertical="top" wrapText="1"/>
    </xf>
    <xf numFmtId="0" fontId="0" fillId="0" borderId="0" xfId="0" applyAlignment="1">
      <alignment horizontal="center"/>
    </xf>
    <xf numFmtId="0" fontId="5" fillId="0" borderId="0" xfId="0" applyFont="1" applyFill="1" applyAlignment="1">
      <alignment vertical="top" wrapText="1"/>
    </xf>
    <xf numFmtId="0" fontId="7" fillId="5" borderId="0" xfId="0" applyFont="1" applyFill="1" applyAlignment="1">
      <alignment vertical="top" wrapText="1"/>
    </xf>
    <xf numFmtId="0" fontId="2" fillId="5" borderId="0" xfId="0" applyFont="1" applyFill="1" applyAlignment="1">
      <alignment vertical="top" wrapText="1"/>
    </xf>
    <xf numFmtId="0" fontId="2" fillId="0" borderId="0" xfId="0" applyFont="1" applyFill="1" applyAlignment="1"/>
    <xf numFmtId="0" fontId="0" fillId="0" borderId="0" xfId="0" applyAlignment="1"/>
    <xf numFmtId="0" fontId="7" fillId="0" borderId="0" xfId="0" applyFont="1" applyAlignment="1">
      <alignment vertical="top" wrapText="1"/>
    </xf>
    <xf numFmtId="0" fontId="0" fillId="0" borderId="0" xfId="0" applyAlignment="1">
      <alignment vertical="top" wrapText="1"/>
    </xf>
    <xf numFmtId="0" fontId="11" fillId="0" borderId="0" xfId="4" applyFont="1" applyAlignment="1" applyProtection="1">
      <alignment vertical="top" wrapText="1"/>
    </xf>
    <xf numFmtId="0" fontId="2" fillId="0" borderId="0" xfId="0" applyFont="1"/>
    <xf numFmtId="0" fontId="2" fillId="0" borderId="0" xfId="0" applyFont="1" applyAlignment="1">
      <alignment wrapText="1"/>
    </xf>
    <xf numFmtId="0" fontId="3" fillId="3" borderId="0" xfId="0" applyFont="1" applyFill="1" applyAlignment="1">
      <alignment horizontal="center" vertical="center"/>
    </xf>
    <xf numFmtId="0" fontId="2" fillId="16" borderId="0" xfId="0" applyFont="1" applyFill="1" applyAlignment="1"/>
  </cellXfs>
  <cellStyles count="9">
    <cellStyle name="Comma" xfId="1" builtinId="3"/>
    <cellStyle name="Comma 2" xfId="5"/>
    <cellStyle name="Hyperlink" xfId="4" builtinId="8"/>
    <cellStyle name="Hyperlink 2" xfId="6"/>
    <cellStyle name="Normal" xfId="0" builtinId="0"/>
    <cellStyle name="Normal 2" xfId="2"/>
    <cellStyle name="Normal 2 2" xfId="7"/>
    <cellStyle name="Normal 3" xfId="3"/>
    <cellStyle name="Normal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 Water Pollution</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CostWaterPollu!$C$2:$BD$2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formatCode="0">
                  <c:v>2013</c:v>
                </c:pt>
              </c:numCache>
            </c:numRef>
          </c:cat>
          <c:val>
            <c:numRef>
              <c:f>CostWaterPollu!$C$3:$BD$3</c:f>
              <c:numCache>
                <c:formatCode>General</c:formatCode>
                <c:ptCount val="54"/>
                <c:pt idx="0">
                  <c:v>0.45426647434704376</c:v>
                </c:pt>
                <c:pt idx="1">
                  <c:v>0.46206963137745499</c:v>
                </c:pt>
                <c:pt idx="2">
                  <c:v>0.47010688311877868</c:v>
                </c:pt>
                <c:pt idx="3">
                  <c:v>0.47838525241234214</c:v>
                </c:pt>
                <c:pt idx="4">
                  <c:v>0.48691197278471243</c:v>
                </c:pt>
                <c:pt idx="5">
                  <c:v>0.49569449476825367</c:v>
                </c:pt>
                <c:pt idx="6">
                  <c:v>0.50474049241130148</c:v>
                </c:pt>
                <c:pt idx="7">
                  <c:v>0.51405786998364034</c:v>
                </c:pt>
                <c:pt idx="8">
                  <c:v>0.52365476888314955</c:v>
                </c:pt>
                <c:pt idx="9">
                  <c:v>0.53353957474964409</c:v>
                </c:pt>
                <c:pt idx="10">
                  <c:v>0.5437209247921333</c:v>
                </c:pt>
                <c:pt idx="11">
                  <c:v>0.55420771533589719</c:v>
                </c:pt>
                <c:pt idx="12">
                  <c:v>0.56500910959597417</c:v>
                </c:pt>
                <c:pt idx="13">
                  <c:v>0.57613454568385336</c:v>
                </c:pt>
                <c:pt idx="14">
                  <c:v>0.58759374485436899</c:v>
                </c:pt>
                <c:pt idx="15">
                  <c:v>0.59939672000000022</c:v>
                </c:pt>
                <c:pt idx="16">
                  <c:v>0.59939672000000022</c:v>
                </c:pt>
                <c:pt idx="17">
                  <c:v>0.59939672000000022</c:v>
                </c:pt>
                <c:pt idx="18">
                  <c:v>0.59939672000000022</c:v>
                </c:pt>
                <c:pt idx="19">
                  <c:v>0.35990864000000011</c:v>
                </c:pt>
                <c:pt idx="20">
                  <c:v>0.35990864000000011</c:v>
                </c:pt>
                <c:pt idx="21">
                  <c:v>0.35990864000000011</c:v>
                </c:pt>
                <c:pt idx="22">
                  <c:v>0.35990864000000011</c:v>
                </c:pt>
                <c:pt idx="23">
                  <c:v>0.34367216</c:v>
                </c:pt>
                <c:pt idx="24">
                  <c:v>0.34367216</c:v>
                </c:pt>
                <c:pt idx="25">
                  <c:v>0.34367216</c:v>
                </c:pt>
                <c:pt idx="26">
                  <c:v>0.34367216000000006</c:v>
                </c:pt>
                <c:pt idx="27">
                  <c:v>0.30916964000000002</c:v>
                </c:pt>
                <c:pt idx="28">
                  <c:v>0.30916964000000002</c:v>
                </c:pt>
                <c:pt idx="29">
                  <c:v>0.30916964000000002</c:v>
                </c:pt>
                <c:pt idx="30">
                  <c:v>0.30916964000000002</c:v>
                </c:pt>
                <c:pt idx="31">
                  <c:v>0.24422372000000001</c:v>
                </c:pt>
                <c:pt idx="32">
                  <c:v>0.24422372000000001</c:v>
                </c:pt>
                <c:pt idx="33">
                  <c:v>0.24422372000000001</c:v>
                </c:pt>
                <c:pt idx="34">
                  <c:v>0.24422372000000001</c:v>
                </c:pt>
                <c:pt idx="35">
                  <c:v>0.24422372000000001</c:v>
                </c:pt>
                <c:pt idx="36">
                  <c:v>0.27263756</c:v>
                </c:pt>
                <c:pt idx="37">
                  <c:v>0.24219415999999999</c:v>
                </c:pt>
                <c:pt idx="38">
                  <c:v>0.23745852000000003</c:v>
                </c:pt>
                <c:pt idx="39">
                  <c:v>0.23204635999999998</c:v>
                </c:pt>
                <c:pt idx="40">
                  <c:v>0.22460464000000002</c:v>
                </c:pt>
                <c:pt idx="41">
                  <c:v>0.15830568</c:v>
                </c:pt>
                <c:pt idx="42">
                  <c:v>0.21851595999999998</c:v>
                </c:pt>
                <c:pt idx="43">
                  <c:v>0.1758952</c:v>
                </c:pt>
                <c:pt idx="44">
                  <c:v>0.21107424</c:v>
                </c:pt>
                <c:pt idx="45">
                  <c:v>0.21378032</c:v>
                </c:pt>
                <c:pt idx="46">
                  <c:v>0.2097212</c:v>
                </c:pt>
                <c:pt idx="47">
                  <c:v>0.20566208</c:v>
                </c:pt>
                <c:pt idx="48">
                  <c:v>0.19686732000000004</c:v>
                </c:pt>
                <c:pt idx="49">
                  <c:v>0.20160296</c:v>
                </c:pt>
                <c:pt idx="50">
                  <c:v>0.19551427999999998</c:v>
                </c:pt>
                <c:pt idx="51">
                  <c:v>0.19551427999999998</c:v>
                </c:pt>
                <c:pt idx="52">
                  <c:v>0.24422372000000001</c:v>
                </c:pt>
                <c:pt idx="53" formatCode="0.00">
                  <c:v>0.22731072000000002</c:v>
                </c:pt>
              </c:numCache>
            </c:numRef>
          </c:val>
          <c:smooth val="0"/>
        </c:ser>
        <c:dLbls>
          <c:showLegendKey val="0"/>
          <c:showVal val="0"/>
          <c:showCatName val="0"/>
          <c:showSerName val="0"/>
          <c:showPercent val="0"/>
          <c:showBubbleSize val="0"/>
        </c:dLbls>
        <c:marker val="1"/>
        <c:smooth val="0"/>
        <c:axId val="164943360"/>
        <c:axId val="181936896"/>
      </c:lineChart>
      <c:catAx>
        <c:axId val="16494336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81936896"/>
        <c:crosses val="autoZero"/>
        <c:auto val="1"/>
        <c:lblAlgn val="ctr"/>
        <c:lblOffset val="100"/>
        <c:tickLblSkip val="3"/>
        <c:noMultiLvlLbl val="0"/>
      </c:catAx>
      <c:valAx>
        <c:axId val="181936896"/>
        <c:scaling>
          <c:orientation val="minMax"/>
          <c:max val="0.75000000000000011"/>
          <c:min val="0"/>
        </c:scaling>
        <c:delete val="0"/>
        <c:axPos val="l"/>
        <c:majorGridlines/>
        <c:title>
          <c:tx>
            <c:rich>
              <a:bodyPr/>
              <a:lstStyle/>
              <a:p>
                <a:pPr>
                  <a:defRPr/>
                </a:pPr>
                <a:r>
                  <a:rPr lang="en-US"/>
                  <a:t>Billion $</a:t>
                </a:r>
              </a:p>
            </c:rich>
          </c:tx>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64943360"/>
        <c:crosses val="autoZero"/>
        <c:crossBetween val="between"/>
        <c:majorUnit val="5.000000000000001E-2"/>
        <c:minorUnit val="1.0000000000000002E-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 Net Farmland Change</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CostFarmlandChange!$C$2:$BD$2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CostFarmlandChange!$C$3:$BD$3</c:f>
              <c:numCache>
                <c:formatCode>0.000000</c:formatCode>
                <c:ptCount val="54"/>
                <c:pt idx="0">
                  <c:v>2.6465400000000104E-2</c:v>
                </c:pt>
                <c:pt idx="1">
                  <c:v>5.2930800000000208E-2</c:v>
                </c:pt>
                <c:pt idx="2">
                  <c:v>7.9396200000000305E-2</c:v>
                </c:pt>
                <c:pt idx="3">
                  <c:v>0.10586160000000042</c:v>
                </c:pt>
                <c:pt idx="4">
                  <c:v>0.132327</c:v>
                </c:pt>
                <c:pt idx="5">
                  <c:v>0.21262799999999998</c:v>
                </c:pt>
                <c:pt idx="6">
                  <c:v>0.29292899999999999</c:v>
                </c:pt>
                <c:pt idx="7">
                  <c:v>0.37323000000000001</c:v>
                </c:pt>
                <c:pt idx="8">
                  <c:v>0.45353100000000002</c:v>
                </c:pt>
                <c:pt idx="9">
                  <c:v>0.53383199999999997</c:v>
                </c:pt>
                <c:pt idx="10">
                  <c:v>0.55735680000000021</c:v>
                </c:pt>
                <c:pt idx="11">
                  <c:v>0.58088160000000044</c:v>
                </c:pt>
                <c:pt idx="12">
                  <c:v>0.60440640000000068</c:v>
                </c:pt>
                <c:pt idx="13">
                  <c:v>0.62793120000000091</c:v>
                </c:pt>
                <c:pt idx="14">
                  <c:v>0.65145600000000004</c:v>
                </c:pt>
                <c:pt idx="15">
                  <c:v>0.66559350000000006</c:v>
                </c:pt>
                <c:pt idx="16">
                  <c:v>0.67973100000000009</c:v>
                </c:pt>
                <c:pt idx="17">
                  <c:v>0.69386850000000011</c:v>
                </c:pt>
                <c:pt idx="18">
                  <c:v>0.70800600000000014</c:v>
                </c:pt>
                <c:pt idx="19">
                  <c:v>0.70319925000000016</c:v>
                </c:pt>
                <c:pt idx="20">
                  <c:v>0.69839250000000019</c:v>
                </c:pt>
                <c:pt idx="21">
                  <c:v>0.69358575000000022</c:v>
                </c:pt>
                <c:pt idx="22">
                  <c:v>0.68877900000000025</c:v>
                </c:pt>
                <c:pt idx="23">
                  <c:v>0.69850560000000017</c:v>
                </c:pt>
                <c:pt idx="24">
                  <c:v>0.70823220000000009</c:v>
                </c:pt>
                <c:pt idx="25">
                  <c:v>0.71795880000000001</c:v>
                </c:pt>
                <c:pt idx="26">
                  <c:v>0.72768539999999993</c:v>
                </c:pt>
                <c:pt idx="27">
                  <c:v>0.73741200000000029</c:v>
                </c:pt>
                <c:pt idx="28">
                  <c:v>0.7537629235500003</c:v>
                </c:pt>
                <c:pt idx="29">
                  <c:v>0.7701138471000003</c:v>
                </c:pt>
                <c:pt idx="30">
                  <c:v>0.78646477065000031</c:v>
                </c:pt>
                <c:pt idx="31">
                  <c:v>0.80281569420000032</c:v>
                </c:pt>
                <c:pt idx="32">
                  <c:v>0.81916661775000033</c:v>
                </c:pt>
                <c:pt idx="33">
                  <c:v>0.86411589420000035</c:v>
                </c:pt>
                <c:pt idx="34">
                  <c:v>0.90906517065000036</c:v>
                </c:pt>
                <c:pt idx="35">
                  <c:v>0.95401444710000038</c:v>
                </c:pt>
                <c:pt idx="36">
                  <c:v>0.9989637235500004</c:v>
                </c:pt>
                <c:pt idx="37">
                  <c:v>1.0439130000000003</c:v>
                </c:pt>
                <c:pt idx="38">
                  <c:v>1.0231026000000003</c:v>
                </c:pt>
                <c:pt idx="39">
                  <c:v>1.0022922000000003</c:v>
                </c:pt>
                <c:pt idx="40">
                  <c:v>0.98148180000000018</c:v>
                </c:pt>
                <c:pt idx="41">
                  <c:v>0.96067140000000006</c:v>
                </c:pt>
                <c:pt idx="42">
                  <c:v>0.9398610000000005</c:v>
                </c:pt>
                <c:pt idx="43">
                  <c:v>0.95016117857142912</c:v>
                </c:pt>
                <c:pt idx="44">
                  <c:v>0.96046135714285774</c:v>
                </c:pt>
                <c:pt idx="45">
                  <c:v>0.97076153571428636</c:v>
                </c:pt>
                <c:pt idx="46">
                  <c:v>0.98106171428571498</c:v>
                </c:pt>
                <c:pt idx="47">
                  <c:v>0.9913618928571436</c:v>
                </c:pt>
                <c:pt idx="48">
                  <c:v>1.0016620714285722</c:v>
                </c:pt>
                <c:pt idx="49">
                  <c:v>1.0052914504285699</c:v>
                </c:pt>
                <c:pt idx="50">
                  <c:v>1.0091142304285721</c:v>
                </c:pt>
                <c:pt idx="51">
                  <c:v>1.0128691504285721</c:v>
                </c:pt>
                <c:pt idx="52">
                  <c:v>1.0169153316781796</c:v>
                </c:pt>
                <c:pt idx="53">
                  <c:v>1.0215904416640509</c:v>
                </c:pt>
              </c:numCache>
            </c:numRef>
          </c:val>
          <c:smooth val="0"/>
        </c:ser>
        <c:dLbls>
          <c:showLegendKey val="0"/>
          <c:showVal val="0"/>
          <c:showCatName val="0"/>
          <c:showSerName val="0"/>
          <c:showPercent val="0"/>
          <c:showBubbleSize val="0"/>
        </c:dLbls>
        <c:marker val="1"/>
        <c:smooth val="0"/>
        <c:axId val="195470848"/>
        <c:axId val="195472768"/>
      </c:lineChart>
      <c:catAx>
        <c:axId val="1954708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5472768"/>
        <c:crosses val="autoZero"/>
        <c:auto val="1"/>
        <c:lblAlgn val="ctr"/>
        <c:lblOffset val="100"/>
        <c:tickLblSkip val="3"/>
        <c:noMultiLvlLbl val="0"/>
      </c:catAx>
      <c:valAx>
        <c:axId val="195472768"/>
        <c:scaling>
          <c:orientation val="minMax"/>
          <c:max val="1.5"/>
          <c:min val="0"/>
        </c:scaling>
        <c:delete val="0"/>
        <c:axPos val="l"/>
        <c:majorGridlines/>
        <c:title>
          <c:tx>
            <c:rich>
              <a:bodyPr/>
              <a:lstStyle/>
              <a:p>
                <a:pPr>
                  <a:defRPr/>
                </a:pPr>
                <a:r>
                  <a:rPr lang="en-US"/>
                  <a:t>Billion $</a:t>
                </a:r>
              </a:p>
            </c:rich>
          </c:tx>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5470848"/>
        <c:crosses val="autoZero"/>
        <c:crossBetween val="between"/>
        <c:majorUnit val="0.25"/>
        <c:minorUnit val="1.0000000000000002E-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Total Farmland Acreage</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CostFarmlandChange!$C$2:$BD$2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CostFarmlandChange!$C$4:$BD$4</c:f>
              <c:numCache>
                <c:formatCode>#,##0.0000</c:formatCode>
                <c:ptCount val="54"/>
                <c:pt idx="0">
                  <c:v>2685.6</c:v>
                </c:pt>
                <c:pt idx="1">
                  <c:v>2662.2</c:v>
                </c:pt>
                <c:pt idx="2">
                  <c:v>2638.7999999999997</c:v>
                </c:pt>
                <c:pt idx="3">
                  <c:v>2615.3999999999996</c:v>
                </c:pt>
                <c:pt idx="4">
                  <c:v>2592</c:v>
                </c:pt>
                <c:pt idx="5">
                  <c:v>2521</c:v>
                </c:pt>
                <c:pt idx="6">
                  <c:v>2450</c:v>
                </c:pt>
                <c:pt idx="7">
                  <c:v>2379</c:v>
                </c:pt>
                <c:pt idx="8">
                  <c:v>2308</c:v>
                </c:pt>
                <c:pt idx="9">
                  <c:v>2237</c:v>
                </c:pt>
                <c:pt idx="10">
                  <c:v>2216.1999999999998</c:v>
                </c:pt>
                <c:pt idx="11">
                  <c:v>2195.3999999999996</c:v>
                </c:pt>
                <c:pt idx="12">
                  <c:v>2174.5999999999995</c:v>
                </c:pt>
                <c:pt idx="13">
                  <c:v>2153.7999999999993</c:v>
                </c:pt>
                <c:pt idx="14">
                  <c:v>2133</c:v>
                </c:pt>
                <c:pt idx="15">
                  <c:v>2120.5</c:v>
                </c:pt>
                <c:pt idx="16">
                  <c:v>2108</c:v>
                </c:pt>
                <c:pt idx="17">
                  <c:v>2095.5</c:v>
                </c:pt>
                <c:pt idx="18">
                  <c:v>2083</c:v>
                </c:pt>
                <c:pt idx="19">
                  <c:v>2087.25</c:v>
                </c:pt>
                <c:pt idx="20">
                  <c:v>2091.5</c:v>
                </c:pt>
                <c:pt idx="21">
                  <c:v>2095.75</c:v>
                </c:pt>
                <c:pt idx="22">
                  <c:v>2100</c:v>
                </c:pt>
                <c:pt idx="23">
                  <c:v>2091.4</c:v>
                </c:pt>
                <c:pt idx="24">
                  <c:v>2082.8000000000002</c:v>
                </c:pt>
                <c:pt idx="25">
                  <c:v>2074.2000000000003</c:v>
                </c:pt>
                <c:pt idx="26">
                  <c:v>2065.6000000000004</c:v>
                </c:pt>
                <c:pt idx="27">
                  <c:v>2057</c:v>
                </c:pt>
                <c:pt idx="28">
                  <c:v>2042.54295</c:v>
                </c:pt>
                <c:pt idx="29">
                  <c:v>2028.0859</c:v>
                </c:pt>
                <c:pt idx="30">
                  <c:v>2013.6288500000001</c:v>
                </c:pt>
                <c:pt idx="31">
                  <c:v>1999.1718000000001</c:v>
                </c:pt>
                <c:pt idx="32">
                  <c:v>1984.7147500000001</c:v>
                </c:pt>
                <c:pt idx="33">
                  <c:v>1944.9718</c:v>
                </c:pt>
                <c:pt idx="34">
                  <c:v>1905.22885</c:v>
                </c:pt>
                <c:pt idx="35">
                  <c:v>1865.4858999999999</c:v>
                </c:pt>
                <c:pt idx="36">
                  <c:v>1825.7429499999998</c:v>
                </c:pt>
                <c:pt idx="37">
                  <c:v>1786</c:v>
                </c:pt>
                <c:pt idx="38">
                  <c:v>1804.4</c:v>
                </c:pt>
                <c:pt idx="39">
                  <c:v>1822.8000000000002</c:v>
                </c:pt>
                <c:pt idx="40">
                  <c:v>1841.2000000000003</c:v>
                </c:pt>
                <c:pt idx="41">
                  <c:v>1859.6000000000004</c:v>
                </c:pt>
                <c:pt idx="42">
                  <c:v>1878</c:v>
                </c:pt>
                <c:pt idx="43">
                  <c:v>1868.8928571428571</c:v>
                </c:pt>
                <c:pt idx="44">
                  <c:v>1859.7857142857142</c:v>
                </c:pt>
                <c:pt idx="45">
                  <c:v>1850.6785714285713</c:v>
                </c:pt>
                <c:pt idx="46">
                  <c:v>1841.5714285714284</c:v>
                </c:pt>
                <c:pt idx="47">
                  <c:v>1832.4642857142856</c:v>
                </c:pt>
                <c:pt idx="48">
                  <c:v>1823.3571428571427</c:v>
                </c:pt>
                <c:pt idx="49">
                  <c:v>1814.25</c:v>
                </c:pt>
                <c:pt idx="50">
                  <c:v>1805.1428571428569</c:v>
                </c:pt>
                <c:pt idx="51">
                  <c:v>1801.9333999999999</c:v>
                </c:pt>
                <c:pt idx="52">
                  <c:v>1798.6134</c:v>
                </c:pt>
                <c:pt idx="53">
                  <c:v>1794.4797925854366</c:v>
                </c:pt>
              </c:numCache>
            </c:numRef>
          </c:val>
          <c:smooth val="0"/>
        </c:ser>
        <c:dLbls>
          <c:showLegendKey val="0"/>
          <c:showVal val="0"/>
          <c:showCatName val="0"/>
          <c:showSerName val="0"/>
          <c:showPercent val="0"/>
          <c:showBubbleSize val="0"/>
        </c:dLbls>
        <c:marker val="1"/>
        <c:smooth val="0"/>
        <c:axId val="195528960"/>
        <c:axId val="195539328"/>
      </c:lineChart>
      <c:catAx>
        <c:axId val="19552896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5539328"/>
        <c:crosses val="autoZero"/>
        <c:auto val="1"/>
        <c:lblAlgn val="ctr"/>
        <c:lblOffset val="100"/>
        <c:tickLblSkip val="3"/>
        <c:noMultiLvlLbl val="0"/>
      </c:catAx>
      <c:valAx>
        <c:axId val="195539328"/>
        <c:scaling>
          <c:orientation val="minMax"/>
        </c:scaling>
        <c:delete val="0"/>
        <c:axPos val="l"/>
        <c:majorGridlines/>
        <c:title>
          <c:tx>
            <c:rich>
              <a:bodyPr/>
              <a:lstStyle/>
              <a:p>
                <a:pPr>
                  <a:defRPr/>
                </a:pPr>
                <a:r>
                  <a:rPr lang="en-US"/>
                  <a:t>1000 Acres</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5528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Farmland</a:t>
            </a:r>
            <a:r>
              <a:rPr lang="en-US" baseline="0"/>
              <a:t> Loss </a:t>
            </a:r>
            <a:endParaRPr lang="en-US"/>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CostFarmlandChange!$C$2:$BD$2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CostFarmlandChange!$C$5:$BD$5</c:f>
              <c:numCache>
                <c:formatCode>0.000</c:formatCode>
                <c:ptCount val="54"/>
                <c:pt idx="0">
                  <c:v>23.400000000000091</c:v>
                </c:pt>
                <c:pt idx="1">
                  <c:v>23.400000000000091</c:v>
                </c:pt>
                <c:pt idx="2">
                  <c:v>23.400000000000091</c:v>
                </c:pt>
                <c:pt idx="3">
                  <c:v>23.400000000000091</c:v>
                </c:pt>
                <c:pt idx="4">
                  <c:v>23.399999999999636</c:v>
                </c:pt>
                <c:pt idx="5">
                  <c:v>71</c:v>
                </c:pt>
                <c:pt idx="6">
                  <c:v>71</c:v>
                </c:pt>
                <c:pt idx="7">
                  <c:v>71</c:v>
                </c:pt>
                <c:pt idx="8">
                  <c:v>71</c:v>
                </c:pt>
                <c:pt idx="9">
                  <c:v>71</c:v>
                </c:pt>
                <c:pt idx="10">
                  <c:v>20.800000000000182</c:v>
                </c:pt>
                <c:pt idx="11">
                  <c:v>20.800000000000182</c:v>
                </c:pt>
                <c:pt idx="12">
                  <c:v>20.800000000000182</c:v>
                </c:pt>
                <c:pt idx="13">
                  <c:v>20.800000000000182</c:v>
                </c:pt>
                <c:pt idx="14">
                  <c:v>20.799999999999272</c:v>
                </c:pt>
                <c:pt idx="15">
                  <c:v>12.5</c:v>
                </c:pt>
                <c:pt idx="16">
                  <c:v>12.5</c:v>
                </c:pt>
                <c:pt idx="17">
                  <c:v>12.5</c:v>
                </c:pt>
                <c:pt idx="18">
                  <c:v>12.5</c:v>
                </c:pt>
                <c:pt idx="19">
                  <c:v>-4.25</c:v>
                </c:pt>
                <c:pt idx="20">
                  <c:v>-4.25</c:v>
                </c:pt>
                <c:pt idx="21">
                  <c:v>-4.25</c:v>
                </c:pt>
                <c:pt idx="22">
                  <c:v>-4.25</c:v>
                </c:pt>
                <c:pt idx="23">
                  <c:v>8.5999999999999091</c:v>
                </c:pt>
                <c:pt idx="24">
                  <c:v>8.5999999999999091</c:v>
                </c:pt>
                <c:pt idx="25">
                  <c:v>8.5999999999999091</c:v>
                </c:pt>
                <c:pt idx="26">
                  <c:v>8.5999999999999091</c:v>
                </c:pt>
                <c:pt idx="27">
                  <c:v>8.6000000000003638</c:v>
                </c:pt>
                <c:pt idx="28">
                  <c:v>14.457049999999981</c:v>
                </c:pt>
                <c:pt idx="29">
                  <c:v>14.457049999999981</c:v>
                </c:pt>
                <c:pt idx="30">
                  <c:v>14.457049999999981</c:v>
                </c:pt>
                <c:pt idx="31">
                  <c:v>14.457049999999981</c:v>
                </c:pt>
                <c:pt idx="32">
                  <c:v>14.457049999999981</c:v>
                </c:pt>
                <c:pt idx="33">
                  <c:v>39.742950000000064</c:v>
                </c:pt>
                <c:pt idx="34">
                  <c:v>39.742950000000064</c:v>
                </c:pt>
                <c:pt idx="35">
                  <c:v>39.742950000000064</c:v>
                </c:pt>
                <c:pt idx="36">
                  <c:v>39.742950000000064</c:v>
                </c:pt>
                <c:pt idx="37">
                  <c:v>39.742949999999837</c:v>
                </c:pt>
                <c:pt idx="38">
                  <c:v>-18.400000000000091</c:v>
                </c:pt>
                <c:pt idx="39">
                  <c:v>-18.400000000000091</c:v>
                </c:pt>
                <c:pt idx="40">
                  <c:v>-18.400000000000091</c:v>
                </c:pt>
                <c:pt idx="41">
                  <c:v>-18.400000000000091</c:v>
                </c:pt>
                <c:pt idx="42">
                  <c:v>-18.399999999999636</c:v>
                </c:pt>
                <c:pt idx="43">
                  <c:v>9.1071428571428896</c:v>
                </c:pt>
                <c:pt idx="44">
                  <c:v>9.1071428571428896</c:v>
                </c:pt>
                <c:pt idx="45">
                  <c:v>9.1071428571428896</c:v>
                </c:pt>
                <c:pt idx="46">
                  <c:v>9.1071428571428896</c:v>
                </c:pt>
                <c:pt idx="47">
                  <c:v>9.1071428571428896</c:v>
                </c:pt>
                <c:pt idx="48">
                  <c:v>9.1071428571428896</c:v>
                </c:pt>
                <c:pt idx="49">
                  <c:v>3.2090000000000001</c:v>
                </c:pt>
                <c:pt idx="50">
                  <c:v>3.38</c:v>
                </c:pt>
                <c:pt idx="51">
                  <c:v>3.32</c:v>
                </c:pt>
                <c:pt idx="52">
                  <c:v>3.5775254196353097</c:v>
                </c:pt>
                <c:pt idx="53">
                  <c:v>4.1336074145634587</c:v>
                </c:pt>
              </c:numCache>
            </c:numRef>
          </c:val>
          <c:smooth val="0"/>
        </c:ser>
        <c:dLbls>
          <c:showLegendKey val="0"/>
          <c:showVal val="0"/>
          <c:showCatName val="0"/>
          <c:showSerName val="0"/>
          <c:showPercent val="0"/>
          <c:showBubbleSize val="0"/>
        </c:dLbls>
        <c:marker val="1"/>
        <c:smooth val="0"/>
        <c:axId val="195550208"/>
        <c:axId val="195568768"/>
      </c:lineChart>
      <c:catAx>
        <c:axId val="19555020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5568768"/>
        <c:crosses val="autoZero"/>
        <c:auto val="1"/>
        <c:lblAlgn val="ctr"/>
        <c:lblOffset val="100"/>
        <c:tickLblSkip val="3"/>
        <c:noMultiLvlLbl val="0"/>
      </c:catAx>
      <c:valAx>
        <c:axId val="195568768"/>
        <c:scaling>
          <c:orientation val="minMax"/>
        </c:scaling>
        <c:delete val="0"/>
        <c:axPos val="l"/>
        <c:majorGridlines/>
        <c:title>
          <c:tx>
            <c:rich>
              <a:bodyPr/>
              <a:lstStyle/>
              <a:p>
                <a:pPr>
                  <a:defRPr/>
                </a:pPr>
                <a:r>
                  <a:rPr lang="en-US"/>
                  <a:t>1000 Acres per year</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55502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 Net</a:t>
            </a:r>
            <a:r>
              <a:rPr lang="en-US" baseline="0"/>
              <a:t> Forest Cover Change</a:t>
            </a:r>
            <a:endParaRPr lang="en-US"/>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CostForestChange!$C$2:$BD$2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CostForestChange!$C$3:$BD$3</c:f>
              <c:numCache>
                <c:formatCode>0.000000000</c:formatCode>
                <c:ptCount val="54"/>
                <c:pt idx="0">
                  <c:v>0.8532634219199986</c:v>
                </c:pt>
                <c:pt idx="1">
                  <c:v>0.85219302191999868</c:v>
                </c:pt>
                <c:pt idx="2">
                  <c:v>0.85112262191999866</c:v>
                </c:pt>
                <c:pt idx="3">
                  <c:v>0.85005222191999863</c:v>
                </c:pt>
                <c:pt idx="4">
                  <c:v>0.8489818219199986</c:v>
                </c:pt>
                <c:pt idx="5">
                  <c:v>0.85625719691999869</c:v>
                </c:pt>
                <c:pt idx="6">
                  <c:v>0.86353257191999866</c:v>
                </c:pt>
                <c:pt idx="7">
                  <c:v>0.87080794691999863</c:v>
                </c:pt>
                <c:pt idx="8">
                  <c:v>0.87808332191999861</c:v>
                </c:pt>
                <c:pt idx="9">
                  <c:v>0.88535869691999869</c:v>
                </c:pt>
                <c:pt idx="10">
                  <c:v>0.89263407191999866</c:v>
                </c:pt>
                <c:pt idx="11">
                  <c:v>0.89990944691999863</c:v>
                </c:pt>
                <c:pt idx="12">
                  <c:v>0.90718482191999861</c:v>
                </c:pt>
                <c:pt idx="13">
                  <c:v>0.91446019691999869</c:v>
                </c:pt>
                <c:pt idx="14">
                  <c:v>0.92173557191999866</c:v>
                </c:pt>
                <c:pt idx="15">
                  <c:v>0.92901094691999864</c:v>
                </c:pt>
                <c:pt idx="16">
                  <c:v>0.93628632191999861</c:v>
                </c:pt>
                <c:pt idx="17">
                  <c:v>0.93822642191999861</c:v>
                </c:pt>
                <c:pt idx="18">
                  <c:v>0.94016652191999861</c:v>
                </c:pt>
                <c:pt idx="19">
                  <c:v>0.94210662191999861</c:v>
                </c:pt>
                <c:pt idx="20">
                  <c:v>0.94404672191999861</c:v>
                </c:pt>
                <c:pt idx="21">
                  <c:v>0.94598682191999861</c:v>
                </c:pt>
                <c:pt idx="22">
                  <c:v>0.94792692191999861</c:v>
                </c:pt>
                <c:pt idx="23">
                  <c:v>0.94986702191999861</c:v>
                </c:pt>
                <c:pt idx="24">
                  <c:v>0.95180712191999861</c:v>
                </c:pt>
                <c:pt idx="25">
                  <c:v>0.95374722191999861</c:v>
                </c:pt>
                <c:pt idx="26">
                  <c:v>0.95568732191999861</c:v>
                </c:pt>
                <c:pt idx="27">
                  <c:v>0.95772777191999869</c:v>
                </c:pt>
                <c:pt idx="28">
                  <c:v>0.95976822191999867</c:v>
                </c:pt>
                <c:pt idx="29">
                  <c:v>0.96180867191999864</c:v>
                </c:pt>
                <c:pt idx="30">
                  <c:v>0.96384912191999861</c:v>
                </c:pt>
                <c:pt idx="31">
                  <c:v>0.96588957191999869</c:v>
                </c:pt>
                <c:pt idx="32">
                  <c:v>0.96793002191999866</c:v>
                </c:pt>
                <c:pt idx="33">
                  <c:v>0.96997047191999863</c:v>
                </c:pt>
                <c:pt idx="34">
                  <c:v>0.97201092191999861</c:v>
                </c:pt>
                <c:pt idx="35">
                  <c:v>0.97405137191999869</c:v>
                </c:pt>
                <c:pt idx="36">
                  <c:v>0.97609182191999866</c:v>
                </c:pt>
                <c:pt idx="37">
                  <c:v>0.97813227191999863</c:v>
                </c:pt>
                <c:pt idx="38">
                  <c:v>0.9801727219199986</c:v>
                </c:pt>
                <c:pt idx="39">
                  <c:v>0.98221317191999868</c:v>
                </c:pt>
                <c:pt idx="40">
                  <c:v>0.98492262191999869</c:v>
                </c:pt>
                <c:pt idx="41">
                  <c:v>0.98763207191999869</c:v>
                </c:pt>
                <c:pt idx="42">
                  <c:v>0.99034152191999869</c:v>
                </c:pt>
                <c:pt idx="43">
                  <c:v>0.99305097191999869</c:v>
                </c:pt>
                <c:pt idx="44">
                  <c:v>0.9957604219199987</c:v>
                </c:pt>
                <c:pt idx="45">
                  <c:v>0.9984698719199987</c:v>
                </c:pt>
                <c:pt idx="46">
                  <c:v>1.0011793219199987</c:v>
                </c:pt>
                <c:pt idx="47">
                  <c:v>1.0038887719199987</c:v>
                </c:pt>
                <c:pt idx="48">
                  <c:v>1.0065982219199987</c:v>
                </c:pt>
                <c:pt idx="49">
                  <c:v>1.0195433719199987</c:v>
                </c:pt>
                <c:pt idx="50">
                  <c:v>1.0098428719199986</c:v>
                </c:pt>
                <c:pt idx="51">
                  <c:v>1.0172018719199987</c:v>
                </c:pt>
                <c:pt idx="52">
                  <c:v>1.0218848719199987</c:v>
                </c:pt>
                <c:pt idx="53">
                  <c:v>1.0163746534199987</c:v>
                </c:pt>
              </c:numCache>
            </c:numRef>
          </c:val>
          <c:smooth val="0"/>
        </c:ser>
        <c:dLbls>
          <c:showLegendKey val="0"/>
          <c:showVal val="0"/>
          <c:showCatName val="0"/>
          <c:showSerName val="0"/>
          <c:showPercent val="0"/>
          <c:showBubbleSize val="0"/>
        </c:dLbls>
        <c:marker val="1"/>
        <c:smooth val="0"/>
        <c:axId val="195608960"/>
        <c:axId val="195610880"/>
      </c:lineChart>
      <c:catAx>
        <c:axId val="19560896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5610880"/>
        <c:crosses val="autoZero"/>
        <c:auto val="1"/>
        <c:lblAlgn val="ctr"/>
        <c:lblOffset val="100"/>
        <c:tickLblSkip val="3"/>
        <c:noMultiLvlLbl val="0"/>
      </c:catAx>
      <c:valAx>
        <c:axId val="195610880"/>
        <c:scaling>
          <c:orientation val="minMax"/>
          <c:max val="1.2"/>
          <c:min val="0.5"/>
        </c:scaling>
        <c:delete val="0"/>
        <c:axPos val="l"/>
        <c:majorGridlines/>
        <c:title>
          <c:tx>
            <c:rich>
              <a:bodyPr/>
              <a:lstStyle/>
              <a:p>
                <a:pPr>
                  <a:defRPr/>
                </a:pPr>
                <a:r>
                  <a:rPr lang="en-US"/>
                  <a:t>Billion $</a:t>
                </a:r>
              </a:p>
            </c:rich>
          </c:tx>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5608960"/>
        <c:crosses val="autoZero"/>
        <c:crossBetween val="between"/>
        <c:majorUnit val="0.1"/>
        <c:minorUnit val="1.0000000000000002E-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Maryland Forest Cover</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CostForestChange!$C$2:$BD$2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CostForestChange!$C$4:$BD$4</c:f>
              <c:numCache>
                <c:formatCode>#,##0</c:formatCode>
                <c:ptCount val="54"/>
                <c:pt idx="0">
                  <c:v>2951.2000000000007</c:v>
                </c:pt>
                <c:pt idx="1">
                  <c:v>2954.4000000000005</c:v>
                </c:pt>
                <c:pt idx="2">
                  <c:v>2957.6000000000004</c:v>
                </c:pt>
                <c:pt idx="3">
                  <c:v>2960.8</c:v>
                </c:pt>
                <c:pt idx="4">
                  <c:v>2964</c:v>
                </c:pt>
                <c:pt idx="5">
                  <c:v>2942.25</c:v>
                </c:pt>
                <c:pt idx="6">
                  <c:v>2920.5</c:v>
                </c:pt>
                <c:pt idx="7">
                  <c:v>2898.75</c:v>
                </c:pt>
                <c:pt idx="8">
                  <c:v>2877</c:v>
                </c:pt>
                <c:pt idx="9">
                  <c:v>2855.25</c:v>
                </c:pt>
                <c:pt idx="10">
                  <c:v>2833.5</c:v>
                </c:pt>
                <c:pt idx="11">
                  <c:v>2811.75</c:v>
                </c:pt>
                <c:pt idx="12">
                  <c:v>2790</c:v>
                </c:pt>
                <c:pt idx="13">
                  <c:v>2768.25</c:v>
                </c:pt>
                <c:pt idx="14">
                  <c:v>2746.5</c:v>
                </c:pt>
                <c:pt idx="15">
                  <c:v>2724.75</c:v>
                </c:pt>
                <c:pt idx="16">
                  <c:v>2703</c:v>
                </c:pt>
                <c:pt idx="17">
                  <c:v>2697.2</c:v>
                </c:pt>
                <c:pt idx="18">
                  <c:v>2691.3999999999996</c:v>
                </c:pt>
                <c:pt idx="19">
                  <c:v>2685.5999999999995</c:v>
                </c:pt>
                <c:pt idx="20">
                  <c:v>2679.7999999999993</c:v>
                </c:pt>
                <c:pt idx="21">
                  <c:v>2673.9999999999991</c:v>
                </c:pt>
                <c:pt idx="22">
                  <c:v>2668.1999999999989</c:v>
                </c:pt>
                <c:pt idx="23">
                  <c:v>2662.3999999999987</c:v>
                </c:pt>
                <c:pt idx="24">
                  <c:v>2656.5999999999985</c:v>
                </c:pt>
                <c:pt idx="25">
                  <c:v>2650.7999999999984</c:v>
                </c:pt>
                <c:pt idx="26">
                  <c:v>2645</c:v>
                </c:pt>
                <c:pt idx="27">
                  <c:v>2638.9</c:v>
                </c:pt>
                <c:pt idx="28">
                  <c:v>2632.8</c:v>
                </c:pt>
                <c:pt idx="29">
                  <c:v>2626.7000000000003</c:v>
                </c:pt>
                <c:pt idx="30">
                  <c:v>2620.6000000000004</c:v>
                </c:pt>
                <c:pt idx="31">
                  <c:v>2614.5000000000005</c:v>
                </c:pt>
                <c:pt idx="32">
                  <c:v>2608.4000000000005</c:v>
                </c:pt>
                <c:pt idx="33">
                  <c:v>2602.3000000000006</c:v>
                </c:pt>
                <c:pt idx="34">
                  <c:v>2596.2000000000007</c:v>
                </c:pt>
                <c:pt idx="35">
                  <c:v>2590.1000000000008</c:v>
                </c:pt>
                <c:pt idx="36">
                  <c:v>2584.0000000000009</c:v>
                </c:pt>
                <c:pt idx="37">
                  <c:v>2577.900000000001</c:v>
                </c:pt>
                <c:pt idx="38">
                  <c:v>2571.8000000000011</c:v>
                </c:pt>
                <c:pt idx="39">
                  <c:v>2565</c:v>
                </c:pt>
                <c:pt idx="40">
                  <c:v>2556.9</c:v>
                </c:pt>
                <c:pt idx="41">
                  <c:v>2548.8000000000002</c:v>
                </c:pt>
                <c:pt idx="42">
                  <c:v>2540.7000000000003</c:v>
                </c:pt>
                <c:pt idx="43">
                  <c:v>2532.6000000000004</c:v>
                </c:pt>
                <c:pt idx="44">
                  <c:v>2524.5000000000005</c:v>
                </c:pt>
                <c:pt idx="45">
                  <c:v>2516.4000000000005</c:v>
                </c:pt>
                <c:pt idx="46">
                  <c:v>2508.3000000000006</c:v>
                </c:pt>
                <c:pt idx="47">
                  <c:v>2500.2000000000007</c:v>
                </c:pt>
                <c:pt idx="48">
                  <c:v>2492</c:v>
                </c:pt>
                <c:pt idx="49">
                  <c:v>2453</c:v>
                </c:pt>
                <c:pt idx="50">
                  <c:v>2482</c:v>
                </c:pt>
                <c:pt idx="51">
                  <c:v>2460</c:v>
                </c:pt>
                <c:pt idx="52">
                  <c:v>2446</c:v>
                </c:pt>
                <c:pt idx="53">
                  <c:v>2462.473</c:v>
                </c:pt>
              </c:numCache>
            </c:numRef>
          </c:val>
          <c:smooth val="0"/>
        </c:ser>
        <c:dLbls>
          <c:showLegendKey val="0"/>
          <c:showVal val="0"/>
          <c:showCatName val="0"/>
          <c:showSerName val="0"/>
          <c:showPercent val="0"/>
          <c:showBubbleSize val="0"/>
        </c:dLbls>
        <c:marker val="1"/>
        <c:smooth val="0"/>
        <c:axId val="199591040"/>
        <c:axId val="199592960"/>
      </c:lineChart>
      <c:catAx>
        <c:axId val="199591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9592960"/>
        <c:crosses val="autoZero"/>
        <c:auto val="1"/>
        <c:lblAlgn val="ctr"/>
        <c:lblOffset val="100"/>
        <c:tickLblSkip val="3"/>
        <c:noMultiLvlLbl val="0"/>
      </c:catAx>
      <c:valAx>
        <c:axId val="199592960"/>
        <c:scaling>
          <c:orientation val="minMax"/>
        </c:scaling>
        <c:delete val="0"/>
        <c:axPos val="l"/>
        <c:majorGridlines/>
        <c:title>
          <c:tx>
            <c:rich>
              <a:bodyPr/>
              <a:lstStyle/>
              <a:p>
                <a:pPr>
                  <a:defRPr/>
                </a:pPr>
                <a:r>
                  <a:rPr lang="en-US"/>
                  <a:t>1000 Acres</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9591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Forest</a:t>
            </a:r>
            <a:r>
              <a:rPr lang="en-US" baseline="0"/>
              <a:t> Cover  Loss </a:t>
            </a:r>
            <a:endParaRPr lang="en-US"/>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CostForestChange!$C$2:$BD$2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CostForestChange!$C$5:$BD$5</c:f>
              <c:numCache>
                <c:formatCode>#,##0</c:formatCode>
                <c:ptCount val="54"/>
                <c:pt idx="0">
                  <c:v>0</c:v>
                </c:pt>
                <c:pt idx="1">
                  <c:v>-3200</c:v>
                </c:pt>
                <c:pt idx="2">
                  <c:v>-3200</c:v>
                </c:pt>
                <c:pt idx="3">
                  <c:v>-3200</c:v>
                </c:pt>
                <c:pt idx="4">
                  <c:v>-3200</c:v>
                </c:pt>
                <c:pt idx="5">
                  <c:v>21750</c:v>
                </c:pt>
                <c:pt idx="6">
                  <c:v>21750</c:v>
                </c:pt>
                <c:pt idx="7">
                  <c:v>21750</c:v>
                </c:pt>
                <c:pt idx="8">
                  <c:v>21750</c:v>
                </c:pt>
                <c:pt idx="9">
                  <c:v>21750</c:v>
                </c:pt>
                <c:pt idx="10">
                  <c:v>21750</c:v>
                </c:pt>
                <c:pt idx="11">
                  <c:v>21750</c:v>
                </c:pt>
                <c:pt idx="12">
                  <c:v>21750</c:v>
                </c:pt>
                <c:pt idx="13">
                  <c:v>21750</c:v>
                </c:pt>
                <c:pt idx="14">
                  <c:v>21750</c:v>
                </c:pt>
                <c:pt idx="15">
                  <c:v>21750</c:v>
                </c:pt>
                <c:pt idx="16">
                  <c:v>21750</c:v>
                </c:pt>
                <c:pt idx="17">
                  <c:v>5800</c:v>
                </c:pt>
                <c:pt idx="18">
                  <c:v>5800</c:v>
                </c:pt>
                <c:pt idx="19">
                  <c:v>5800</c:v>
                </c:pt>
                <c:pt idx="20">
                  <c:v>5800</c:v>
                </c:pt>
                <c:pt idx="21">
                  <c:v>5800</c:v>
                </c:pt>
                <c:pt idx="22">
                  <c:v>5800</c:v>
                </c:pt>
                <c:pt idx="23">
                  <c:v>5800</c:v>
                </c:pt>
                <c:pt idx="24">
                  <c:v>5800</c:v>
                </c:pt>
                <c:pt idx="25">
                  <c:v>5800</c:v>
                </c:pt>
                <c:pt idx="26">
                  <c:v>5800</c:v>
                </c:pt>
                <c:pt idx="27">
                  <c:v>6100</c:v>
                </c:pt>
                <c:pt idx="28">
                  <c:v>6100</c:v>
                </c:pt>
                <c:pt idx="29">
                  <c:v>6100</c:v>
                </c:pt>
                <c:pt idx="30">
                  <c:v>6100</c:v>
                </c:pt>
                <c:pt idx="31">
                  <c:v>6100</c:v>
                </c:pt>
                <c:pt idx="32">
                  <c:v>6100</c:v>
                </c:pt>
                <c:pt idx="33">
                  <c:v>6100</c:v>
                </c:pt>
                <c:pt idx="34">
                  <c:v>6100</c:v>
                </c:pt>
                <c:pt idx="35">
                  <c:v>6100</c:v>
                </c:pt>
                <c:pt idx="36">
                  <c:v>6100</c:v>
                </c:pt>
                <c:pt idx="37">
                  <c:v>6100</c:v>
                </c:pt>
                <c:pt idx="38">
                  <c:v>6100</c:v>
                </c:pt>
                <c:pt idx="39">
                  <c:v>6100</c:v>
                </c:pt>
                <c:pt idx="40">
                  <c:v>8100</c:v>
                </c:pt>
                <c:pt idx="41">
                  <c:v>8100</c:v>
                </c:pt>
                <c:pt idx="42">
                  <c:v>8100</c:v>
                </c:pt>
                <c:pt idx="43">
                  <c:v>8100</c:v>
                </c:pt>
                <c:pt idx="44">
                  <c:v>8100</c:v>
                </c:pt>
                <c:pt idx="45">
                  <c:v>8100</c:v>
                </c:pt>
                <c:pt idx="46">
                  <c:v>8100</c:v>
                </c:pt>
                <c:pt idx="47">
                  <c:v>8100</c:v>
                </c:pt>
                <c:pt idx="48">
                  <c:v>8100</c:v>
                </c:pt>
                <c:pt idx="49">
                  <c:v>38700</c:v>
                </c:pt>
                <c:pt idx="50">
                  <c:v>-29000</c:v>
                </c:pt>
                <c:pt idx="51">
                  <c:v>22000</c:v>
                </c:pt>
                <c:pt idx="52">
                  <c:v>14000</c:v>
                </c:pt>
                <c:pt idx="53">
                  <c:v>-16472.999999999956</c:v>
                </c:pt>
              </c:numCache>
            </c:numRef>
          </c:val>
          <c:smooth val="0"/>
        </c:ser>
        <c:dLbls>
          <c:showLegendKey val="0"/>
          <c:showVal val="0"/>
          <c:showCatName val="0"/>
          <c:showSerName val="0"/>
          <c:showPercent val="0"/>
          <c:showBubbleSize val="0"/>
        </c:dLbls>
        <c:marker val="1"/>
        <c:smooth val="0"/>
        <c:axId val="199600000"/>
        <c:axId val="199692288"/>
      </c:lineChart>
      <c:catAx>
        <c:axId val="19960000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9692288"/>
        <c:crosses val="autoZero"/>
        <c:auto val="1"/>
        <c:lblAlgn val="ctr"/>
        <c:lblOffset val="100"/>
        <c:tickLblSkip val="3"/>
        <c:noMultiLvlLbl val="0"/>
      </c:catAx>
      <c:valAx>
        <c:axId val="199692288"/>
        <c:scaling>
          <c:orientation val="minMax"/>
        </c:scaling>
        <c:delete val="0"/>
        <c:axPos val="l"/>
        <c:majorGridlines/>
        <c:title>
          <c:tx>
            <c:rich>
              <a:bodyPr/>
              <a:lstStyle/>
              <a:p>
                <a:pPr>
                  <a:defRPr/>
                </a:pPr>
                <a:r>
                  <a:rPr lang="en-US"/>
                  <a:t>Acres per</a:t>
                </a:r>
                <a:r>
                  <a:rPr lang="en-US" baseline="0"/>
                  <a:t> year</a:t>
                </a:r>
                <a:endParaRPr lang="en-US"/>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9600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 Climate Change</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CostClimateChange!$C$2:$BD$2</c:f>
              <c:numCache>
                <c:formatCode>0</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CostClimateChange!$C$3:$BD$3</c:f>
              <c:numCache>
                <c:formatCode>0.000000</c:formatCode>
                <c:ptCount val="54"/>
                <c:pt idx="0">
                  <c:v>0</c:v>
                </c:pt>
                <c:pt idx="1">
                  <c:v>0</c:v>
                </c:pt>
                <c:pt idx="2">
                  <c:v>0</c:v>
                </c:pt>
                <c:pt idx="3">
                  <c:v>0</c:v>
                </c:pt>
                <c:pt idx="4">
                  <c:v>0</c:v>
                </c:pt>
                <c:pt idx="5">
                  <c:v>5.1543037184453508E-2</c:v>
                </c:pt>
                <c:pt idx="6">
                  <c:v>0.10747805561649951</c:v>
                </c:pt>
                <c:pt idx="7">
                  <c:v>0.16301543017900569</c:v>
                </c:pt>
                <c:pt idx="8">
                  <c:v>0.22824427411781711</c:v>
                </c:pt>
                <c:pt idx="9">
                  <c:v>0.2933452744967302</c:v>
                </c:pt>
                <c:pt idx="10">
                  <c:v>0.35653126411737163</c:v>
                </c:pt>
                <c:pt idx="11">
                  <c:v>0.42018948723664518</c:v>
                </c:pt>
                <c:pt idx="12">
                  <c:v>0.48581393898265085</c:v>
                </c:pt>
                <c:pt idx="13">
                  <c:v>0.58683288725858818</c:v>
                </c:pt>
                <c:pt idx="14">
                  <c:v>0.60969278606133226</c:v>
                </c:pt>
                <c:pt idx="15">
                  <c:v>0.59344250629298767</c:v>
                </c:pt>
                <c:pt idx="16">
                  <c:v>0.70401630223634126</c:v>
                </c:pt>
                <c:pt idx="17">
                  <c:v>0.71346867991265128</c:v>
                </c:pt>
                <c:pt idx="18">
                  <c:v>0.80095478254147978</c:v>
                </c:pt>
                <c:pt idx="19">
                  <c:v>0.8968452808732934</c:v>
                </c:pt>
                <c:pt idx="20">
                  <c:v>0.87037971172331152</c:v>
                </c:pt>
                <c:pt idx="21">
                  <c:v>0.86784930211070943</c:v>
                </c:pt>
                <c:pt idx="22">
                  <c:v>0.90032698411052436</c:v>
                </c:pt>
                <c:pt idx="23">
                  <c:v>0.97141137547396306</c:v>
                </c:pt>
                <c:pt idx="24">
                  <c:v>1.1296488608661923</c:v>
                </c:pt>
                <c:pt idx="25">
                  <c:v>1.1216947438641052</c:v>
                </c:pt>
                <c:pt idx="26">
                  <c:v>1.2023101550565616</c:v>
                </c:pt>
                <c:pt idx="27">
                  <c:v>1.326264751951638</c:v>
                </c:pt>
                <c:pt idx="28">
                  <c:v>1.4343945420349746</c:v>
                </c:pt>
                <c:pt idx="29">
                  <c:v>1.5639379310228116</c:v>
                </c:pt>
                <c:pt idx="30">
                  <c:v>1.4791294162317992</c:v>
                </c:pt>
                <c:pt idx="31">
                  <c:v>1.4972560520894558</c:v>
                </c:pt>
                <c:pt idx="32">
                  <c:v>1.5098057205283748</c:v>
                </c:pt>
                <c:pt idx="33">
                  <c:v>1.6373827293937708</c:v>
                </c:pt>
                <c:pt idx="34">
                  <c:v>1.7189725681349606</c:v>
                </c:pt>
                <c:pt idx="35">
                  <c:v>1.7775667417365484</c:v>
                </c:pt>
                <c:pt idx="36">
                  <c:v>1.8865758981211285</c:v>
                </c:pt>
                <c:pt idx="37">
                  <c:v>1.966284976729658</c:v>
                </c:pt>
                <c:pt idx="38">
                  <c:v>2.0846515729824207</c:v>
                </c:pt>
                <c:pt idx="39">
                  <c:v>2.2110982147203702</c:v>
                </c:pt>
                <c:pt idx="40">
                  <c:v>2.2750924094959744</c:v>
                </c:pt>
                <c:pt idx="41">
                  <c:v>2.305905700599812</c:v>
                </c:pt>
                <c:pt idx="42">
                  <c:v>2.3778921518409599</c:v>
                </c:pt>
                <c:pt idx="43">
                  <c:v>2.516776476675636</c:v>
                </c:pt>
                <c:pt idx="44">
                  <c:v>2.6189574691352266</c:v>
                </c:pt>
                <c:pt idx="45">
                  <c:v>2.7444667425687257</c:v>
                </c:pt>
                <c:pt idx="46">
                  <c:v>2.6249825743968827</c:v>
                </c:pt>
                <c:pt idx="47">
                  <c:v>2.7296611994503053</c:v>
                </c:pt>
                <c:pt idx="48">
                  <c:v>2.6688660463979419</c:v>
                </c:pt>
                <c:pt idx="49">
                  <c:v>2.629648689132396</c:v>
                </c:pt>
                <c:pt idx="50">
                  <c:v>2.654092158483655</c:v>
                </c:pt>
                <c:pt idx="51">
                  <c:v>2.5430283122462578</c:v>
                </c:pt>
                <c:pt idx="52">
                  <c:v>2.5971352976132001</c:v>
                </c:pt>
                <c:pt idx="53">
                  <c:v>2.4831889442303523</c:v>
                </c:pt>
              </c:numCache>
            </c:numRef>
          </c:val>
          <c:smooth val="0"/>
        </c:ser>
        <c:dLbls>
          <c:showLegendKey val="0"/>
          <c:showVal val="0"/>
          <c:showCatName val="0"/>
          <c:showSerName val="0"/>
          <c:showPercent val="0"/>
          <c:showBubbleSize val="0"/>
        </c:dLbls>
        <c:marker val="1"/>
        <c:smooth val="0"/>
        <c:axId val="201858048"/>
        <c:axId val="201860224"/>
      </c:lineChart>
      <c:catAx>
        <c:axId val="201858048"/>
        <c:scaling>
          <c:orientation val="minMax"/>
        </c:scaling>
        <c:delete val="0"/>
        <c:axPos val="b"/>
        <c:numFmt formatCode="0"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201860224"/>
        <c:crosses val="autoZero"/>
        <c:auto val="1"/>
        <c:lblAlgn val="ctr"/>
        <c:lblOffset val="100"/>
        <c:tickLblSkip val="3"/>
        <c:noMultiLvlLbl val="0"/>
      </c:catAx>
      <c:valAx>
        <c:axId val="201860224"/>
        <c:scaling>
          <c:orientation val="minMax"/>
        </c:scaling>
        <c:delete val="0"/>
        <c:axPos val="l"/>
        <c:majorGridlines/>
        <c:title>
          <c:tx>
            <c:rich>
              <a:bodyPr/>
              <a:lstStyle/>
              <a:p>
                <a:pPr>
                  <a:defRPr/>
                </a:pPr>
                <a:r>
                  <a:rPr lang="en-US"/>
                  <a:t>Billion $</a:t>
                </a:r>
              </a:p>
            </c:rich>
          </c:tx>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1858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CO2 from Coal</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CostClimateChange!$C$2:$BD$2</c:f>
              <c:numCache>
                <c:formatCode>0</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CostClimateChange!$C$4:$BD$4</c:f>
              <c:numCache>
                <c:formatCode>#,##0.00</c:formatCode>
                <c:ptCount val="54"/>
                <c:pt idx="0">
                  <c:v>22095253.808268934</c:v>
                </c:pt>
                <c:pt idx="1">
                  <c:v>22451044.15085474</c:v>
                </c:pt>
                <c:pt idx="2">
                  <c:v>24605882.770657245</c:v>
                </c:pt>
                <c:pt idx="3">
                  <c:v>26850612.072423186</c:v>
                </c:pt>
                <c:pt idx="4">
                  <c:v>29318078.177773323</c:v>
                </c:pt>
                <c:pt idx="5">
                  <c:v>31928138.709572904</c:v>
                </c:pt>
                <c:pt idx="6">
                  <c:v>33064573.709001049</c:v>
                </c:pt>
                <c:pt idx="7">
                  <c:v>34202567.217158072</c:v>
                </c:pt>
                <c:pt idx="8">
                  <c:v>35380654.710709222</c:v>
                </c:pt>
                <c:pt idx="9">
                  <c:v>34659165.431983538</c:v>
                </c:pt>
                <c:pt idx="10">
                  <c:v>30357914.502630398</c:v>
                </c:pt>
                <c:pt idx="11">
                  <c:v>26716546.246453322</c:v>
                </c:pt>
                <c:pt idx="12">
                  <c:v>22081113.016397774</c:v>
                </c:pt>
                <c:pt idx="13">
                  <c:v>25039944.698474858</c:v>
                </c:pt>
                <c:pt idx="14">
                  <c:v>21212108.548484169</c:v>
                </c:pt>
                <c:pt idx="15">
                  <c:v>19227552.611862689</c:v>
                </c:pt>
                <c:pt idx="16">
                  <c:v>23923992.283164501</c:v>
                </c:pt>
                <c:pt idx="17">
                  <c:v>18502687.877525579</c:v>
                </c:pt>
                <c:pt idx="18">
                  <c:v>20452405.04734914</c:v>
                </c:pt>
                <c:pt idx="19">
                  <c:v>23474552.1597936</c:v>
                </c:pt>
                <c:pt idx="20">
                  <c:v>22986994.588376399</c:v>
                </c:pt>
                <c:pt idx="21">
                  <c:v>20515597.942822184</c:v>
                </c:pt>
                <c:pt idx="22">
                  <c:v>21187286.680647168</c:v>
                </c:pt>
                <c:pt idx="23">
                  <c:v>22683700.188657649</c:v>
                </c:pt>
                <c:pt idx="24">
                  <c:v>26346403.639635798</c:v>
                </c:pt>
                <c:pt idx="25">
                  <c:v>24986246.84518842</c:v>
                </c:pt>
                <c:pt idx="26">
                  <c:v>26822734.673025705</c:v>
                </c:pt>
                <c:pt idx="27">
                  <c:v>28174298.771397907</c:v>
                </c:pt>
                <c:pt idx="28">
                  <c:v>29375437.716746915</c:v>
                </c:pt>
                <c:pt idx="29">
                  <c:v>28845660.883435387</c:v>
                </c:pt>
                <c:pt idx="30">
                  <c:v>27938445.577138308</c:v>
                </c:pt>
                <c:pt idx="31">
                  <c:v>26795377.334040668</c:v>
                </c:pt>
                <c:pt idx="32">
                  <c:v>24136054.422877982</c:v>
                </c:pt>
                <c:pt idx="33">
                  <c:v>25524566.753248133</c:v>
                </c:pt>
                <c:pt idx="34">
                  <c:v>26220094.7860296</c:v>
                </c:pt>
                <c:pt idx="35">
                  <c:v>28238754.731611561</c:v>
                </c:pt>
                <c:pt idx="36">
                  <c:v>28522979.762254003</c:v>
                </c:pt>
                <c:pt idx="37">
                  <c:v>28250859.473114949</c:v>
                </c:pt>
                <c:pt idx="38">
                  <c:v>29636630.246136416</c:v>
                </c:pt>
                <c:pt idx="39">
                  <c:v>29762506.682674695</c:v>
                </c:pt>
                <c:pt idx="40">
                  <c:v>30442743.866779421</c:v>
                </c:pt>
                <c:pt idx="41">
                  <c:v>31095092.459820695</c:v>
                </c:pt>
                <c:pt idx="42">
                  <c:v>31776076.041056477</c:v>
                </c:pt>
                <c:pt idx="43">
                  <c:v>32142442.226155616</c:v>
                </c:pt>
                <c:pt idx="44">
                  <c:v>31913117.109403417</c:v>
                </c:pt>
                <c:pt idx="45">
                  <c:v>32114464.130045779</c:v>
                </c:pt>
                <c:pt idx="46">
                  <c:v>31661362.360971894</c:v>
                </c:pt>
                <c:pt idx="47">
                  <c:v>31985285.962849449</c:v>
                </c:pt>
                <c:pt idx="48">
                  <c:v>30163080.674657699</c:v>
                </c:pt>
                <c:pt idx="49">
                  <c:v>26024816.869512998</c:v>
                </c:pt>
                <c:pt idx="50">
                  <c:v>25947481.638389848</c:v>
                </c:pt>
                <c:pt idx="51">
                  <c:v>23521417.899864499</c:v>
                </c:pt>
                <c:pt idx="52">
                  <c:v>23521417.899864499</c:v>
                </c:pt>
                <c:pt idx="53">
                  <c:v>18763301.977419998</c:v>
                </c:pt>
              </c:numCache>
            </c:numRef>
          </c:val>
          <c:smooth val="0"/>
        </c:ser>
        <c:dLbls>
          <c:showLegendKey val="0"/>
          <c:showVal val="0"/>
          <c:showCatName val="0"/>
          <c:showSerName val="0"/>
          <c:showPercent val="0"/>
          <c:showBubbleSize val="0"/>
        </c:dLbls>
        <c:marker val="1"/>
        <c:smooth val="0"/>
        <c:axId val="201904128"/>
        <c:axId val="201906048"/>
      </c:lineChart>
      <c:catAx>
        <c:axId val="201904128"/>
        <c:scaling>
          <c:orientation val="minMax"/>
        </c:scaling>
        <c:delete val="0"/>
        <c:axPos val="b"/>
        <c:numFmt formatCode="0"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201906048"/>
        <c:crosses val="autoZero"/>
        <c:auto val="1"/>
        <c:lblAlgn val="ctr"/>
        <c:lblOffset val="100"/>
        <c:tickLblSkip val="3"/>
        <c:noMultiLvlLbl val="0"/>
      </c:catAx>
      <c:valAx>
        <c:axId val="201906048"/>
        <c:scaling>
          <c:orientation val="minMax"/>
        </c:scaling>
        <c:delete val="0"/>
        <c:axPos val="l"/>
        <c:majorGridlines/>
        <c:title>
          <c:tx>
            <c:rich>
              <a:bodyPr/>
              <a:lstStyle/>
              <a:p>
                <a:pPr>
                  <a:defRPr/>
                </a:pPr>
                <a:r>
                  <a:rPr lang="en-US"/>
                  <a:t>tons</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19041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CO2 from Natural Gas</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CostClimateChange!$C$2:$BD$2</c:f>
              <c:numCache>
                <c:formatCode>0</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CostClimateChange!$C$5:$BD$5</c:f>
              <c:numCache>
                <c:formatCode>#,##0.00</c:formatCode>
                <c:ptCount val="54"/>
                <c:pt idx="0">
                  <c:v>3990637.0278565893</c:v>
                </c:pt>
                <c:pt idx="1">
                  <c:v>4165045.9423752814</c:v>
                </c:pt>
                <c:pt idx="2">
                  <c:v>4615523.8090893449</c:v>
                </c:pt>
                <c:pt idx="3">
                  <c:v>4844569.6723566586</c:v>
                </c:pt>
                <c:pt idx="4">
                  <c:v>5130407.0490372758</c:v>
                </c:pt>
                <c:pt idx="5">
                  <c:v>5496396.2604349926</c:v>
                </c:pt>
                <c:pt idx="6">
                  <c:v>5596916.0447299397</c:v>
                </c:pt>
                <c:pt idx="7">
                  <c:v>6601768.9470113525</c:v>
                </c:pt>
                <c:pt idx="8">
                  <c:v>7059809.0059277331</c:v>
                </c:pt>
                <c:pt idx="9">
                  <c:v>8040543.4843695993</c:v>
                </c:pt>
                <c:pt idx="10">
                  <c:v>8686318.0467326175</c:v>
                </c:pt>
                <c:pt idx="11">
                  <c:v>8964226.1909782775</c:v>
                </c:pt>
                <c:pt idx="12">
                  <c:v>9813005.1055440754</c:v>
                </c:pt>
                <c:pt idx="13">
                  <c:v>9668561.4968991838</c:v>
                </c:pt>
                <c:pt idx="14">
                  <c:v>9554910.7708670385</c:v>
                </c:pt>
                <c:pt idx="15">
                  <c:v>7721251.5706316838</c:v>
                </c:pt>
                <c:pt idx="16">
                  <c:v>8145195.6003886778</c:v>
                </c:pt>
                <c:pt idx="17">
                  <c:v>7357325.4932846306</c:v>
                </c:pt>
                <c:pt idx="18">
                  <c:v>7600862.4619608177</c:v>
                </c:pt>
                <c:pt idx="19">
                  <c:v>9777524.5792967267</c:v>
                </c:pt>
                <c:pt idx="20">
                  <c:v>8896713.0515752267</c:v>
                </c:pt>
                <c:pt idx="21">
                  <c:v>9674766.6078621317</c:v>
                </c:pt>
                <c:pt idx="22">
                  <c:v>8754340.8341765013</c:v>
                </c:pt>
                <c:pt idx="23">
                  <c:v>8093171.1771321399</c:v>
                </c:pt>
                <c:pt idx="24">
                  <c:v>8879033.5566749554</c:v>
                </c:pt>
                <c:pt idx="25">
                  <c:v>8489408.349037528</c:v>
                </c:pt>
                <c:pt idx="26">
                  <c:v>8601868.6068353374</c:v>
                </c:pt>
                <c:pt idx="27">
                  <c:v>9486425.2685848475</c:v>
                </c:pt>
                <c:pt idx="28">
                  <c:v>9712323.6576625947</c:v>
                </c:pt>
                <c:pt idx="29">
                  <c:v>10865268.855634147</c:v>
                </c:pt>
                <c:pt idx="30">
                  <c:v>9829736.825174652</c:v>
                </c:pt>
                <c:pt idx="31">
                  <c:v>9962778.5765806288</c:v>
                </c:pt>
                <c:pt idx="32">
                  <c:v>10346932.279081326</c:v>
                </c:pt>
                <c:pt idx="33">
                  <c:v>10178195.974593963</c:v>
                </c:pt>
                <c:pt idx="34">
                  <c:v>10451613.135257276</c:v>
                </c:pt>
                <c:pt idx="35">
                  <c:v>10842756.60001809</c:v>
                </c:pt>
                <c:pt idx="36">
                  <c:v>10980635.312586633</c:v>
                </c:pt>
                <c:pt idx="37">
                  <c:v>11930860.974991951</c:v>
                </c:pt>
                <c:pt idx="38">
                  <c:v>10643442.429309132</c:v>
                </c:pt>
                <c:pt idx="39">
                  <c:v>11051665.076160721</c:v>
                </c:pt>
                <c:pt idx="40">
                  <c:v>11940013.712607916</c:v>
                </c:pt>
                <c:pt idx="41">
                  <c:v>10068444.614700407</c:v>
                </c:pt>
                <c:pt idx="42">
                  <c:v>11078808.813418493</c:v>
                </c:pt>
                <c:pt idx="43">
                  <c:v>11131735.570153913</c:v>
                </c:pt>
                <c:pt idx="44">
                  <c:v>10991233.495953005</c:v>
                </c:pt>
                <c:pt idx="45">
                  <c:v>11551903.283403272</c:v>
                </c:pt>
                <c:pt idx="46">
                  <c:v>10299528.274892908</c:v>
                </c:pt>
                <c:pt idx="47">
                  <c:v>11359386.296689199</c:v>
                </c:pt>
                <c:pt idx="48">
                  <c:v>11045754.3883764</c:v>
                </c:pt>
                <c:pt idx="49">
                  <c:v>11091966.379031999</c:v>
                </c:pt>
                <c:pt idx="50">
                  <c:v>11852042.0415936</c:v>
                </c:pt>
                <c:pt idx="51">
                  <c:v>10841039.079948001</c:v>
                </c:pt>
                <c:pt idx="52">
                  <c:v>10841039.079948001</c:v>
                </c:pt>
                <c:pt idx="53">
                  <c:v>11795215.98948</c:v>
                </c:pt>
              </c:numCache>
            </c:numRef>
          </c:val>
          <c:smooth val="0"/>
        </c:ser>
        <c:dLbls>
          <c:showLegendKey val="0"/>
          <c:showVal val="0"/>
          <c:showCatName val="0"/>
          <c:showSerName val="0"/>
          <c:showPercent val="0"/>
          <c:showBubbleSize val="0"/>
        </c:dLbls>
        <c:marker val="1"/>
        <c:smooth val="0"/>
        <c:axId val="201941760"/>
        <c:axId val="201943680"/>
      </c:lineChart>
      <c:catAx>
        <c:axId val="201941760"/>
        <c:scaling>
          <c:orientation val="minMax"/>
        </c:scaling>
        <c:delete val="0"/>
        <c:axPos val="b"/>
        <c:numFmt formatCode="0"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201943680"/>
        <c:crosses val="autoZero"/>
        <c:auto val="1"/>
        <c:lblAlgn val="ctr"/>
        <c:lblOffset val="100"/>
        <c:tickLblSkip val="3"/>
        <c:noMultiLvlLbl val="0"/>
      </c:catAx>
      <c:valAx>
        <c:axId val="201943680"/>
        <c:scaling>
          <c:orientation val="minMax"/>
        </c:scaling>
        <c:delete val="0"/>
        <c:axPos val="l"/>
        <c:majorGridlines/>
        <c:title>
          <c:tx>
            <c:rich>
              <a:bodyPr/>
              <a:lstStyle/>
              <a:p>
                <a:pPr>
                  <a:defRPr/>
                </a:pPr>
                <a:r>
                  <a:rPr lang="en-US"/>
                  <a:t>tons</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1941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CO2 from Petroleum</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CostClimateChange!$C$2:$BD$2</c:f>
              <c:numCache>
                <c:formatCode>0</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CostClimateChange!$C$6:$BD$6</c:f>
              <c:numCache>
                <c:formatCode>#,##0.00</c:formatCode>
                <c:ptCount val="54"/>
                <c:pt idx="0">
                  <c:v>25640161.4679056</c:v>
                </c:pt>
                <c:pt idx="1">
                  <c:v>25277142.422347199</c:v>
                </c:pt>
                <c:pt idx="2">
                  <c:v>26838008.1986016</c:v>
                </c:pt>
                <c:pt idx="3">
                  <c:v>27152765.015992001</c:v>
                </c:pt>
                <c:pt idx="4">
                  <c:v>28429645.6812368</c:v>
                </c:pt>
                <c:pt idx="5">
                  <c:v>29783673.336771198</c:v>
                </c:pt>
                <c:pt idx="6">
                  <c:v>31402308.6372688</c:v>
                </c:pt>
                <c:pt idx="7">
                  <c:v>29970625.967990398</c:v>
                </c:pt>
                <c:pt idx="8">
                  <c:v>31870778.837004799</c:v>
                </c:pt>
                <c:pt idx="9">
                  <c:v>33757215.072750397</c:v>
                </c:pt>
                <c:pt idx="10">
                  <c:v>38389372.929969601</c:v>
                </c:pt>
                <c:pt idx="11">
                  <c:v>42667365.8646928</c:v>
                </c:pt>
                <c:pt idx="12">
                  <c:v>47243495.9923696</c:v>
                </c:pt>
                <c:pt idx="13">
                  <c:v>50464437.2680448</c:v>
                </c:pt>
                <c:pt idx="14">
                  <c:v>48752761.100612797</c:v>
                </c:pt>
                <c:pt idx="15">
                  <c:v>43090839.701324798</c:v>
                </c:pt>
                <c:pt idx="16">
                  <c:v>44083590.106001601</c:v>
                </c:pt>
                <c:pt idx="17">
                  <c:v>44838440.384460799</c:v>
                </c:pt>
                <c:pt idx="18">
                  <c:v>45544883.2851936</c:v>
                </c:pt>
                <c:pt idx="19">
                  <c:v>43617514.873979196</c:v>
                </c:pt>
                <c:pt idx="20">
                  <c:v>38687147.2490272</c:v>
                </c:pt>
                <c:pt idx="21">
                  <c:v>36049997.497236796</c:v>
                </c:pt>
                <c:pt idx="22">
                  <c:v>34269593.013902396</c:v>
                </c:pt>
                <c:pt idx="23">
                  <c:v>35295727.8170112</c:v>
                </c:pt>
                <c:pt idx="24">
                  <c:v>37593880.775158398</c:v>
                </c:pt>
                <c:pt idx="25">
                  <c:v>35175761.706993602</c:v>
                </c:pt>
                <c:pt idx="26">
                  <c:v>35270616.943407997</c:v>
                </c:pt>
                <c:pt idx="27">
                  <c:v>37470576.2252976</c:v>
                </c:pt>
                <c:pt idx="28">
                  <c:v>38743102.403790399</c:v>
                </c:pt>
                <c:pt idx="29">
                  <c:v>41506967.720063999</c:v>
                </c:pt>
                <c:pt idx="30">
                  <c:v>36713984.1521376</c:v>
                </c:pt>
                <c:pt idx="31">
                  <c:v>35753311.799867198</c:v>
                </c:pt>
                <c:pt idx="32">
                  <c:v>35886776.818815999</c:v>
                </c:pt>
                <c:pt idx="33">
                  <c:v>37708766.650632001</c:v>
                </c:pt>
                <c:pt idx="34">
                  <c:v>37862697.757315196</c:v>
                </c:pt>
                <c:pt idx="35">
                  <c:v>35091502.388342395</c:v>
                </c:pt>
                <c:pt idx="36">
                  <c:v>36524491.403646402</c:v>
                </c:pt>
                <c:pt idx="37">
                  <c:v>37044779.995731197</c:v>
                </c:pt>
                <c:pt idx="38">
                  <c:v>39459705.773611195</c:v>
                </c:pt>
                <c:pt idx="39">
                  <c:v>41315442.877755202</c:v>
                </c:pt>
                <c:pt idx="40">
                  <c:v>39768511.459107198</c:v>
                </c:pt>
                <c:pt idx="41">
                  <c:v>41164051.888343997</c:v>
                </c:pt>
                <c:pt idx="42">
                  <c:v>39803927.951356798</c:v>
                </c:pt>
                <c:pt idx="43">
                  <c:v>41480332.776097596</c:v>
                </c:pt>
                <c:pt idx="44">
                  <c:v>43038150.411625601</c:v>
                </c:pt>
                <c:pt idx="45">
                  <c:v>44409305.715051197</c:v>
                </c:pt>
                <c:pt idx="46">
                  <c:v>40291122.444126397</c:v>
                </c:pt>
                <c:pt idx="47">
                  <c:v>40257375.171798401</c:v>
                </c:pt>
                <c:pt idx="48">
                  <c:v>38521386.453334399</c:v>
                </c:pt>
                <c:pt idx="49">
                  <c:v>39201702.433555201</c:v>
                </c:pt>
                <c:pt idx="50">
                  <c:v>37592429.279574402</c:v>
                </c:pt>
                <c:pt idx="51">
                  <c:v>36168512.111670397</c:v>
                </c:pt>
                <c:pt idx="52">
                  <c:v>36168512.111670397</c:v>
                </c:pt>
                <c:pt idx="53">
                  <c:v>35336659.992480002</c:v>
                </c:pt>
              </c:numCache>
            </c:numRef>
          </c:val>
          <c:smooth val="0"/>
        </c:ser>
        <c:dLbls>
          <c:showLegendKey val="0"/>
          <c:showVal val="0"/>
          <c:showCatName val="0"/>
          <c:showSerName val="0"/>
          <c:showPercent val="0"/>
          <c:showBubbleSize val="0"/>
        </c:dLbls>
        <c:marker val="1"/>
        <c:smooth val="0"/>
        <c:axId val="201954816"/>
        <c:axId val="201956736"/>
      </c:lineChart>
      <c:catAx>
        <c:axId val="201954816"/>
        <c:scaling>
          <c:orientation val="minMax"/>
        </c:scaling>
        <c:delete val="0"/>
        <c:axPos val="b"/>
        <c:numFmt formatCode="0"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201956736"/>
        <c:crosses val="autoZero"/>
        <c:auto val="1"/>
        <c:lblAlgn val="ctr"/>
        <c:lblOffset val="100"/>
        <c:tickLblSkip val="3"/>
        <c:noMultiLvlLbl val="0"/>
      </c:catAx>
      <c:valAx>
        <c:axId val="201956736"/>
        <c:scaling>
          <c:orientation val="minMax"/>
        </c:scaling>
        <c:delete val="0"/>
        <c:axPos val="l"/>
        <c:majorGridlines/>
        <c:title>
          <c:tx>
            <c:rich>
              <a:bodyPr/>
              <a:lstStyle/>
              <a:p>
                <a:pPr>
                  <a:defRPr/>
                </a:pPr>
                <a:r>
                  <a:rPr lang="en-US"/>
                  <a:t>tons</a:t>
                </a:r>
              </a:p>
            </c:rich>
          </c:tx>
          <c:layout>
            <c:manualLayout>
              <c:xMode val="edge"/>
              <c:yMode val="edge"/>
              <c:x val="2.4427480916030534E-2"/>
              <c:y val="0.40573931601978586"/>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1954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Percentage Rivers</a:t>
            </a:r>
            <a:r>
              <a:rPr lang="en-US" baseline="0"/>
              <a:t> and Streams Degraded</a:t>
            </a:r>
            <a:endParaRPr lang="en-US"/>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CostWaterPollu!$C$2:$BD$2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formatCode="0">
                  <c:v>2013</c:v>
                </c:pt>
              </c:numCache>
            </c:numRef>
          </c:cat>
          <c:val>
            <c:numRef>
              <c:f>CostWaterPollu!$C$4:$BD$4</c:f>
              <c:numCache>
                <c:formatCode>0.00</c:formatCode>
                <c:ptCount val="54"/>
                <c:pt idx="0">
                  <c:v>67.147530649063398</c:v>
                </c:pt>
                <c:pt idx="1">
                  <c:v>68.300956568535298</c:v>
                </c:pt>
                <c:pt idx="2">
                  <c:v>69.488985265591367</c:v>
                </c:pt>
                <c:pt idx="3">
                  <c:v>70.71265482355912</c:v>
                </c:pt>
                <c:pt idx="4">
                  <c:v>71.973034468265894</c:v>
                </c:pt>
                <c:pt idx="5">
                  <c:v>73.271225502313854</c:v>
                </c:pt>
                <c:pt idx="6">
                  <c:v>74.608362267383285</c:v>
                </c:pt>
                <c:pt idx="7">
                  <c:v>75.985613135404776</c:v>
                </c:pt>
                <c:pt idx="8">
                  <c:v>77.404181529466911</c:v>
                </c:pt>
                <c:pt idx="9">
                  <c:v>78.865306975350919</c:v>
                </c:pt>
                <c:pt idx="10">
                  <c:v>80.370266184611438</c:v>
                </c:pt>
                <c:pt idx="11">
                  <c:v>81.920374170149771</c:v>
                </c:pt>
                <c:pt idx="12">
                  <c:v>83.516985395254267</c:v>
                </c:pt>
                <c:pt idx="13">
                  <c:v>85.161494957111898</c:v>
                </c:pt>
                <c:pt idx="14">
                  <c:v>86.855339805825253</c:v>
                </c:pt>
                <c:pt idx="15">
                  <c:v>88.6</c:v>
                </c:pt>
                <c:pt idx="16">
                  <c:v>88.6</c:v>
                </c:pt>
                <c:pt idx="17">
                  <c:v>88.6</c:v>
                </c:pt>
                <c:pt idx="18">
                  <c:v>88.6</c:v>
                </c:pt>
                <c:pt idx="19">
                  <c:v>53.2</c:v>
                </c:pt>
                <c:pt idx="20">
                  <c:v>53.2</c:v>
                </c:pt>
                <c:pt idx="21">
                  <c:v>53.2</c:v>
                </c:pt>
                <c:pt idx="22">
                  <c:v>53.2</c:v>
                </c:pt>
                <c:pt idx="23">
                  <c:v>50.8</c:v>
                </c:pt>
                <c:pt idx="24">
                  <c:v>50.8</c:v>
                </c:pt>
                <c:pt idx="25">
                  <c:v>50.8</c:v>
                </c:pt>
                <c:pt idx="26">
                  <c:v>50.8</c:v>
                </c:pt>
                <c:pt idx="27">
                  <c:v>45.7</c:v>
                </c:pt>
                <c:pt idx="28">
                  <c:v>45.7</c:v>
                </c:pt>
                <c:pt idx="29">
                  <c:v>45.7</c:v>
                </c:pt>
                <c:pt idx="30">
                  <c:v>45.7</c:v>
                </c:pt>
                <c:pt idx="31">
                  <c:v>36.1</c:v>
                </c:pt>
                <c:pt idx="32">
                  <c:v>36.1</c:v>
                </c:pt>
                <c:pt idx="33">
                  <c:v>36.1</c:v>
                </c:pt>
                <c:pt idx="34">
                  <c:v>36.1</c:v>
                </c:pt>
                <c:pt idx="35">
                  <c:v>36.1</c:v>
                </c:pt>
                <c:pt idx="36">
                  <c:v>40.299999999999997</c:v>
                </c:pt>
                <c:pt idx="37">
                  <c:v>35.799999999999997</c:v>
                </c:pt>
                <c:pt idx="38">
                  <c:v>35.1</c:v>
                </c:pt>
                <c:pt idx="39">
                  <c:v>34.299999999999997</c:v>
                </c:pt>
                <c:pt idx="40">
                  <c:v>33.200000000000003</c:v>
                </c:pt>
                <c:pt idx="41">
                  <c:v>23.4</c:v>
                </c:pt>
                <c:pt idx="42">
                  <c:v>32.299999999999997</c:v>
                </c:pt>
                <c:pt idx="43">
                  <c:v>26</c:v>
                </c:pt>
                <c:pt idx="44">
                  <c:v>31.2</c:v>
                </c:pt>
                <c:pt idx="45">
                  <c:v>31.6</c:v>
                </c:pt>
                <c:pt idx="46">
                  <c:v>31</c:v>
                </c:pt>
                <c:pt idx="47">
                  <c:v>30.4</c:v>
                </c:pt>
                <c:pt idx="48">
                  <c:v>29.1</c:v>
                </c:pt>
                <c:pt idx="49">
                  <c:v>29.8</c:v>
                </c:pt>
                <c:pt idx="50">
                  <c:v>28.9</c:v>
                </c:pt>
                <c:pt idx="51">
                  <c:v>28.9</c:v>
                </c:pt>
                <c:pt idx="52">
                  <c:v>36.1</c:v>
                </c:pt>
                <c:pt idx="53">
                  <c:v>33.6</c:v>
                </c:pt>
              </c:numCache>
            </c:numRef>
          </c:val>
          <c:smooth val="0"/>
        </c:ser>
        <c:dLbls>
          <c:showLegendKey val="0"/>
          <c:showVal val="0"/>
          <c:showCatName val="0"/>
          <c:showSerName val="0"/>
          <c:showPercent val="0"/>
          <c:showBubbleSize val="0"/>
        </c:dLbls>
        <c:marker val="1"/>
        <c:smooth val="0"/>
        <c:axId val="193440384"/>
        <c:axId val="193504000"/>
      </c:lineChart>
      <c:catAx>
        <c:axId val="19344038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3504000"/>
        <c:crosses val="autoZero"/>
        <c:auto val="1"/>
        <c:lblAlgn val="ctr"/>
        <c:lblOffset val="100"/>
        <c:tickLblSkip val="3"/>
        <c:noMultiLvlLbl val="0"/>
      </c:catAx>
      <c:valAx>
        <c:axId val="193504000"/>
        <c:scaling>
          <c:orientation val="minMax"/>
        </c:scaling>
        <c:delete val="0"/>
        <c:axPos val="l"/>
        <c:majorGridlines/>
        <c:title>
          <c:tx>
            <c:rich>
              <a:bodyPr/>
              <a:lstStyle/>
              <a:p>
                <a:pPr>
                  <a:defRPr/>
                </a:pPr>
                <a:r>
                  <a:rPr lang="en-US"/>
                  <a:t>%</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4403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CO2 from Wood and Waste</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CostClimateChange!$C$2:$BD$2</c:f>
              <c:numCache>
                <c:formatCode>0</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CostClimateChange!$C$7:$BD$7</c:f>
              <c:numCache>
                <c:formatCode>#,##0.00</c:formatCode>
                <c:ptCount val="54"/>
                <c:pt idx="0">
                  <c:v>2130122.8594496953</c:v>
                </c:pt>
                <c:pt idx="1">
                  <c:v>2108030.5592994071</c:v>
                </c:pt>
                <c:pt idx="2">
                  <c:v>2133682.8942203722</c:v>
                </c:pt>
                <c:pt idx="3">
                  <c:v>2259186.3942833315</c:v>
                </c:pt>
                <c:pt idx="4">
                  <c:v>2306090.4522228641</c:v>
                </c:pt>
                <c:pt idx="5">
                  <c:v>2421021.2568190349</c:v>
                </c:pt>
                <c:pt idx="6">
                  <c:v>2531983.8558759452</c:v>
                </c:pt>
                <c:pt idx="7">
                  <c:v>2630612.6416804101</c:v>
                </c:pt>
                <c:pt idx="8">
                  <c:v>2772267.7867220188</c:v>
                </c:pt>
                <c:pt idx="9">
                  <c:v>2798807.046824927</c:v>
                </c:pt>
                <c:pt idx="10">
                  <c:v>2839109.620829856</c:v>
                </c:pt>
                <c:pt idx="11">
                  <c:v>2742127.9663457414</c:v>
                </c:pt>
                <c:pt idx="12">
                  <c:v>2897836.5750926342</c:v>
                </c:pt>
                <c:pt idx="13">
                  <c:v>2910344.8038464854</c:v>
                </c:pt>
                <c:pt idx="14">
                  <c:v>2843311.2465449325</c:v>
                </c:pt>
                <c:pt idx="15">
                  <c:v>2840219.3433446088</c:v>
                </c:pt>
                <c:pt idx="16">
                  <c:v>3101562.0122848544</c:v>
                </c:pt>
                <c:pt idx="17">
                  <c:v>3441642.3570248839</c:v>
                </c:pt>
                <c:pt idx="18">
                  <c:v>3687976.7243346884</c:v>
                </c:pt>
                <c:pt idx="19">
                  <c:v>3899993.5156747079</c:v>
                </c:pt>
                <c:pt idx="20">
                  <c:v>2916118.4074845202</c:v>
                </c:pt>
                <c:pt idx="21">
                  <c:v>2722770.6068425477</c:v>
                </c:pt>
                <c:pt idx="22">
                  <c:v>3358067.9331692993</c:v>
                </c:pt>
                <c:pt idx="23">
                  <c:v>2994492.3384818826</c:v>
                </c:pt>
                <c:pt idx="24">
                  <c:v>3482530.1113537434</c:v>
                </c:pt>
                <c:pt idx="25">
                  <c:v>3505334.7665957548</c:v>
                </c:pt>
                <c:pt idx="26">
                  <c:v>3131813.3376631956</c:v>
                </c:pt>
                <c:pt idx="27">
                  <c:v>2766281.4536828827</c:v>
                </c:pt>
                <c:pt idx="28">
                  <c:v>2907318.2568656672</c:v>
                </c:pt>
                <c:pt idx="29">
                  <c:v>3290737.7869488443</c:v>
                </c:pt>
                <c:pt idx="30">
                  <c:v>2369698.2641813587</c:v>
                </c:pt>
                <c:pt idx="31">
                  <c:v>2400964.3802444316</c:v>
                </c:pt>
                <c:pt idx="32">
                  <c:v>2472698.9932583263</c:v>
                </c:pt>
                <c:pt idx="33">
                  <c:v>2861990.9556987225</c:v>
                </c:pt>
                <c:pt idx="34">
                  <c:v>2870640.7307173638</c:v>
                </c:pt>
                <c:pt idx="35">
                  <c:v>3288469.0718724271</c:v>
                </c:pt>
                <c:pt idx="36">
                  <c:v>3614577.5016349317</c:v>
                </c:pt>
                <c:pt idx="37">
                  <c:v>3265756.5426287553</c:v>
                </c:pt>
                <c:pt idx="38">
                  <c:v>3088025.0744914035</c:v>
                </c:pt>
                <c:pt idx="39">
                  <c:v>3212141.13010483</c:v>
                </c:pt>
                <c:pt idx="40">
                  <c:v>3221255.61518761</c:v>
                </c:pt>
                <c:pt idx="41">
                  <c:v>1862584.2109097564</c:v>
                </c:pt>
                <c:pt idx="42">
                  <c:v>1874938.3038915109</c:v>
                </c:pt>
                <c:pt idx="43">
                  <c:v>2422429.8817234626</c:v>
                </c:pt>
                <c:pt idx="44">
                  <c:v>2505910.639054013</c:v>
                </c:pt>
                <c:pt idx="45">
                  <c:v>2350822.2897821199</c:v>
                </c:pt>
                <c:pt idx="46">
                  <c:v>2178361.9347844198</c:v>
                </c:pt>
                <c:pt idx="47">
                  <c:v>2153431.1373521099</c:v>
                </c:pt>
                <c:pt idx="48">
                  <c:v>2209726.48639281</c:v>
                </c:pt>
                <c:pt idx="49">
                  <c:v>2623273.90759973</c:v>
                </c:pt>
                <c:pt idx="50">
                  <c:v>2551519.67699706</c:v>
                </c:pt>
                <c:pt idx="51">
                  <c:v>2561885.1698363</c:v>
                </c:pt>
                <c:pt idx="52">
                  <c:v>2561885.1698363</c:v>
                </c:pt>
                <c:pt idx="53">
                  <c:v>2564565.9007429997</c:v>
                </c:pt>
              </c:numCache>
            </c:numRef>
          </c:val>
          <c:smooth val="0"/>
        </c:ser>
        <c:dLbls>
          <c:showLegendKey val="0"/>
          <c:showVal val="0"/>
          <c:showCatName val="0"/>
          <c:showSerName val="0"/>
          <c:showPercent val="0"/>
          <c:showBubbleSize val="0"/>
        </c:dLbls>
        <c:marker val="1"/>
        <c:smooth val="0"/>
        <c:axId val="202017024"/>
        <c:axId val="202019200"/>
      </c:lineChart>
      <c:catAx>
        <c:axId val="202017024"/>
        <c:scaling>
          <c:orientation val="minMax"/>
        </c:scaling>
        <c:delete val="0"/>
        <c:axPos val="b"/>
        <c:numFmt formatCode="0"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202019200"/>
        <c:crosses val="autoZero"/>
        <c:auto val="1"/>
        <c:lblAlgn val="ctr"/>
        <c:lblOffset val="100"/>
        <c:tickLblSkip val="3"/>
        <c:noMultiLvlLbl val="0"/>
      </c:catAx>
      <c:valAx>
        <c:axId val="202019200"/>
        <c:scaling>
          <c:orientation val="minMax"/>
        </c:scaling>
        <c:delete val="0"/>
        <c:axPos val="l"/>
        <c:majorGridlines/>
        <c:title>
          <c:tx>
            <c:rich>
              <a:bodyPr/>
              <a:lstStyle/>
              <a:p>
                <a:pPr>
                  <a:defRPr/>
                </a:pPr>
                <a:r>
                  <a:rPr lang="en-US"/>
                  <a:t>tons</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20170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Total CO2</a:t>
            </a:r>
            <a:r>
              <a:rPr lang="en-US" baseline="0"/>
              <a:t> Emissions from Energy Consumption</a:t>
            </a:r>
            <a:endParaRPr lang="en-US"/>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CostClimateChange!$C$2:$BD$2</c:f>
              <c:numCache>
                <c:formatCode>0</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CostClimateChange!$C$8:$BD$8</c:f>
              <c:numCache>
                <c:formatCode>#,##0.00</c:formatCode>
                <c:ptCount val="54"/>
                <c:pt idx="0">
                  <c:v>53856175.163480811</c:v>
                </c:pt>
                <c:pt idx="1">
                  <c:v>54001263.074876629</c:v>
                </c:pt>
                <c:pt idx="2">
                  <c:v>58193097.672568567</c:v>
                </c:pt>
                <c:pt idx="3">
                  <c:v>61107133.155055173</c:v>
                </c:pt>
                <c:pt idx="4">
                  <c:v>65184221.360270254</c:v>
                </c:pt>
                <c:pt idx="5">
                  <c:v>69629229.563598126</c:v>
                </c:pt>
                <c:pt idx="6">
                  <c:v>72595782.246875733</c:v>
                </c:pt>
                <c:pt idx="7">
                  <c:v>73405574.773840234</c:v>
                </c:pt>
                <c:pt idx="8">
                  <c:v>77083510.340363771</c:v>
                </c:pt>
                <c:pt idx="9">
                  <c:v>79255731.035928458</c:v>
                </c:pt>
                <c:pt idx="10">
                  <c:v>80272715.100162476</c:v>
                </c:pt>
                <c:pt idx="11">
                  <c:v>81090266.268470153</c:v>
                </c:pt>
                <c:pt idx="12">
                  <c:v>82035450.689404085</c:v>
                </c:pt>
                <c:pt idx="13">
                  <c:v>88083288.26726532</c:v>
                </c:pt>
                <c:pt idx="14">
                  <c:v>82363091.666508928</c:v>
                </c:pt>
                <c:pt idx="15">
                  <c:v>72879863.227163777</c:v>
                </c:pt>
                <c:pt idx="16">
                  <c:v>79254340.001839638</c:v>
                </c:pt>
                <c:pt idx="17">
                  <c:v>74140096.112295896</c:v>
                </c:pt>
                <c:pt idx="18">
                  <c:v>77286127.518838242</c:v>
                </c:pt>
                <c:pt idx="19">
                  <c:v>80769585.12874423</c:v>
                </c:pt>
                <c:pt idx="20">
                  <c:v>73486973.296463341</c:v>
                </c:pt>
                <c:pt idx="21">
                  <c:v>68963132.654763669</c:v>
                </c:pt>
                <c:pt idx="22">
                  <c:v>67569288.461895362</c:v>
                </c:pt>
                <c:pt idx="23">
                  <c:v>69067091.521282881</c:v>
                </c:pt>
                <c:pt idx="24">
                  <c:v>76301848.082822889</c:v>
                </c:pt>
                <c:pt idx="25">
                  <c:v>72156751.667815298</c:v>
                </c:pt>
                <c:pt idx="26">
                  <c:v>73827033.560932234</c:v>
                </c:pt>
                <c:pt idx="27">
                  <c:v>77897581.718963236</c:v>
                </c:pt>
                <c:pt idx="28">
                  <c:v>80738182.035065576</c:v>
                </c:pt>
                <c:pt idx="29">
                  <c:v>84508635.24608238</c:v>
                </c:pt>
                <c:pt idx="30">
                  <c:v>76851864.818631932</c:v>
                </c:pt>
                <c:pt idx="31">
                  <c:v>74912432.090732932</c:v>
                </c:pt>
                <c:pt idx="32">
                  <c:v>72842462.514033645</c:v>
                </c:pt>
                <c:pt idx="33">
                  <c:v>76273520.334172815</c:v>
                </c:pt>
                <c:pt idx="34">
                  <c:v>77405046.409319431</c:v>
                </c:pt>
                <c:pt idx="35">
                  <c:v>77461482.791844472</c:v>
                </c:pt>
                <c:pt idx="36">
                  <c:v>79642683.98012197</c:v>
                </c:pt>
                <c:pt idx="37">
                  <c:v>80492256.98646684</c:v>
                </c:pt>
                <c:pt idx="38">
                  <c:v>82827803.523548141</c:v>
                </c:pt>
                <c:pt idx="39">
                  <c:v>85341755.766695455</c:v>
                </c:pt>
                <c:pt idx="40">
                  <c:v>85372524.653682142</c:v>
                </c:pt>
                <c:pt idx="41">
                  <c:v>84190173.173774853</c:v>
                </c:pt>
                <c:pt idx="42">
                  <c:v>84533751.10972327</c:v>
                </c:pt>
                <c:pt idx="43">
                  <c:v>87176940.45413059</c:v>
                </c:pt>
                <c:pt idx="44">
                  <c:v>88448411.656036034</c:v>
                </c:pt>
                <c:pt idx="45">
                  <c:v>90426495.418282375</c:v>
                </c:pt>
                <c:pt idx="46">
                  <c:v>84430375.014775604</c:v>
                </c:pt>
                <c:pt idx="47">
                  <c:v>85755478.568689167</c:v>
                </c:pt>
                <c:pt idx="48">
                  <c:v>81939948.002761319</c:v>
                </c:pt>
                <c:pt idx="49">
                  <c:v>78941759.589699939</c:v>
                </c:pt>
                <c:pt idx="50">
                  <c:v>77943472.636554927</c:v>
                </c:pt>
                <c:pt idx="51">
                  <c:v>73092854.261319205</c:v>
                </c:pt>
                <c:pt idx="52">
                  <c:v>73092854.261319205</c:v>
                </c:pt>
                <c:pt idx="53">
                  <c:v>68459743.860122994</c:v>
                </c:pt>
              </c:numCache>
            </c:numRef>
          </c:val>
          <c:smooth val="0"/>
        </c:ser>
        <c:dLbls>
          <c:showLegendKey val="0"/>
          <c:showVal val="0"/>
          <c:showCatName val="0"/>
          <c:showSerName val="0"/>
          <c:showPercent val="0"/>
          <c:showBubbleSize val="0"/>
        </c:dLbls>
        <c:marker val="1"/>
        <c:smooth val="0"/>
        <c:axId val="202025984"/>
        <c:axId val="202122368"/>
      </c:lineChart>
      <c:catAx>
        <c:axId val="202025984"/>
        <c:scaling>
          <c:orientation val="minMax"/>
        </c:scaling>
        <c:delete val="0"/>
        <c:axPos val="b"/>
        <c:numFmt formatCode="0"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202122368"/>
        <c:crosses val="autoZero"/>
        <c:auto val="1"/>
        <c:lblAlgn val="ctr"/>
        <c:lblOffset val="100"/>
        <c:tickLblSkip val="3"/>
        <c:noMultiLvlLbl val="0"/>
      </c:catAx>
      <c:valAx>
        <c:axId val="202122368"/>
        <c:scaling>
          <c:orientation val="minMax"/>
        </c:scaling>
        <c:delete val="0"/>
        <c:axPos val="l"/>
        <c:majorGridlines/>
        <c:title>
          <c:tx>
            <c:rich>
              <a:bodyPr/>
              <a:lstStyle/>
              <a:p>
                <a:pPr>
                  <a:defRPr/>
                </a:pPr>
                <a:r>
                  <a:rPr lang="en-US"/>
                  <a:t>tons</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2025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 Ozone Depletion</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CostOzoneDepletion!$C$2:$BD$2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CostOzoneDepletion!$C$3:$BD$3</c:f>
              <c:numCache>
                <c:formatCode>0.000000</c:formatCode>
                <c:ptCount val="54"/>
                <c:pt idx="0">
                  <c:v>0.17919422596874984</c:v>
                </c:pt>
                <c:pt idx="1">
                  <c:v>0.30655002150350319</c:v>
                </c:pt>
                <c:pt idx="2">
                  <c:v>0.45445292648146762</c:v>
                </c:pt>
                <c:pt idx="3">
                  <c:v>0.48846344891725935</c:v>
                </c:pt>
                <c:pt idx="4">
                  <c:v>1.4294545283992308</c:v>
                </c:pt>
                <c:pt idx="5">
                  <c:v>1.6473034384440794</c:v>
                </c:pt>
                <c:pt idx="6">
                  <c:v>1.8717498473748473</c:v>
                </c:pt>
                <c:pt idx="7">
                  <c:v>2.0988393755787271</c:v>
                </c:pt>
                <c:pt idx="8">
                  <c:v>2.3434842505953983</c:v>
                </c:pt>
                <c:pt idx="9">
                  <c:v>2.6201183163358444</c:v>
                </c:pt>
                <c:pt idx="10">
                  <c:v>2.9292407779490079</c:v>
                </c:pt>
                <c:pt idx="11">
                  <c:v>3.278080910715059</c:v>
                </c:pt>
                <c:pt idx="12">
                  <c:v>3.6448126214887377</c:v>
                </c:pt>
                <c:pt idx="13">
                  <c:v>4.024339692981421</c:v>
                </c:pt>
                <c:pt idx="14">
                  <c:v>4.3999380886025046</c:v>
                </c:pt>
                <c:pt idx="15">
                  <c:v>4.6941361188667106</c:v>
                </c:pt>
                <c:pt idx="16">
                  <c:v>4.9685966931914605</c:v>
                </c:pt>
                <c:pt idx="17">
                  <c:v>5.2098729107923667</c:v>
                </c:pt>
                <c:pt idx="18">
                  <c:v>5.4164458521463708</c:v>
                </c:pt>
                <c:pt idx="19">
                  <c:v>5.5812339650307701</c:v>
                </c:pt>
                <c:pt idx="20">
                  <c:v>5.7823333259984597</c:v>
                </c:pt>
                <c:pt idx="21">
                  <c:v>6.0252621303373912</c:v>
                </c:pt>
                <c:pt idx="22">
                  <c:v>6.1940288089647071</c:v>
                </c:pt>
                <c:pt idx="23">
                  <c:v>6.408289462428141</c:v>
                </c:pt>
                <c:pt idx="24">
                  <c:v>6.6969178416198458</c:v>
                </c:pt>
                <c:pt idx="25">
                  <c:v>6.9593724466636395</c:v>
                </c:pt>
                <c:pt idx="26">
                  <c:v>7.2996690167532163</c:v>
                </c:pt>
                <c:pt idx="27">
                  <c:v>7.6459002265889087</c:v>
                </c:pt>
                <c:pt idx="28">
                  <c:v>8.0933319154679566</c:v>
                </c:pt>
                <c:pt idx="29">
                  <c:v>8.4407225942897437</c:v>
                </c:pt>
                <c:pt idx="30">
                  <c:v>8.6312465197517856</c:v>
                </c:pt>
                <c:pt idx="31">
                  <c:v>8.6782612132926982</c:v>
                </c:pt>
                <c:pt idx="32">
                  <c:v>8.7347747101522728</c:v>
                </c:pt>
                <c:pt idx="33">
                  <c:v>8.8612099923437686</c:v>
                </c:pt>
                <c:pt idx="34">
                  <c:v>8.9246985474639526</c:v>
                </c:pt>
                <c:pt idx="35">
                  <c:v>8.9391360908524167</c:v>
                </c:pt>
                <c:pt idx="36">
                  <c:v>8.9269312234125486</c:v>
                </c:pt>
                <c:pt idx="37">
                  <c:v>8.9036985552747687</c:v>
                </c:pt>
                <c:pt idx="38">
                  <c:v>8.8732729632341751</c:v>
                </c:pt>
                <c:pt idx="39">
                  <c:v>8.827803820652683</c:v>
                </c:pt>
                <c:pt idx="40">
                  <c:v>8.8079694339534047</c:v>
                </c:pt>
                <c:pt idx="41">
                  <c:v>8.802419687199265</c:v>
                </c:pt>
                <c:pt idx="42">
                  <c:v>8.9994734976865853</c:v>
                </c:pt>
                <c:pt idx="43">
                  <c:v>8.9710794609746536</c:v>
                </c:pt>
                <c:pt idx="44">
                  <c:v>8.9150414528028463</c:v>
                </c:pt>
                <c:pt idx="45">
                  <c:v>8.858724239324367</c:v>
                </c:pt>
                <c:pt idx="46">
                  <c:v>8.7687563994435518</c:v>
                </c:pt>
                <c:pt idx="47">
                  <c:v>8.6570098293382038</c:v>
                </c:pt>
                <c:pt idx="48">
                  <c:v>8.5405516254124354</c:v>
                </c:pt>
                <c:pt idx="49">
                  <c:v>8.5059633925875797</c:v>
                </c:pt>
                <c:pt idx="50">
                  <c:v>8.5202801200545331</c:v>
                </c:pt>
                <c:pt idx="51">
                  <c:v>8.4661113701018778</c:v>
                </c:pt>
                <c:pt idx="52">
                  <c:v>8.4355520819983951</c:v>
                </c:pt>
                <c:pt idx="53">
                  <c:v>8.4346249453341606</c:v>
                </c:pt>
              </c:numCache>
            </c:numRef>
          </c:val>
          <c:smooth val="0"/>
        </c:ser>
        <c:dLbls>
          <c:showLegendKey val="0"/>
          <c:showVal val="0"/>
          <c:showCatName val="0"/>
          <c:showSerName val="0"/>
          <c:showPercent val="0"/>
          <c:showBubbleSize val="0"/>
        </c:dLbls>
        <c:marker val="1"/>
        <c:smooth val="0"/>
        <c:axId val="202191232"/>
        <c:axId val="202193152"/>
      </c:lineChart>
      <c:catAx>
        <c:axId val="20219123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202193152"/>
        <c:crosses val="autoZero"/>
        <c:auto val="1"/>
        <c:lblAlgn val="ctr"/>
        <c:lblOffset val="100"/>
        <c:tickLblSkip val="3"/>
        <c:noMultiLvlLbl val="0"/>
      </c:catAx>
      <c:valAx>
        <c:axId val="202193152"/>
        <c:scaling>
          <c:orientation val="minMax"/>
        </c:scaling>
        <c:delete val="0"/>
        <c:axPos val="l"/>
        <c:majorGridlines/>
        <c:title>
          <c:tx>
            <c:rich>
              <a:bodyPr/>
              <a:lstStyle/>
              <a:p>
                <a:pPr>
                  <a:defRPr/>
                </a:pPr>
                <a:r>
                  <a:rPr lang="en-US"/>
                  <a:t>Billion $</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2191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 Nonrenewable</a:t>
            </a:r>
            <a:r>
              <a:rPr lang="en-US" baseline="0"/>
              <a:t> Resource Depletion</a:t>
            </a:r>
            <a:endParaRPr lang="en-US"/>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CostNonrenewEnergy!$C$2:$BD$2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CostNonrenewEnergy!$C$3:$BC$3</c:f>
              <c:numCache>
                <c:formatCode>0.00</c:formatCode>
                <c:ptCount val="53"/>
                <c:pt idx="0">
                  <c:v>12.042653887450001</c:v>
                </c:pt>
                <c:pt idx="1">
                  <c:v>12.052908392125</c:v>
                </c:pt>
                <c:pt idx="2">
                  <c:v>12.931546698900002</c:v>
                </c:pt>
                <c:pt idx="3">
                  <c:v>13.337494895825001</c:v>
                </c:pt>
                <c:pt idx="4">
                  <c:v>14.124471767700001</c:v>
                </c:pt>
                <c:pt idx="5">
                  <c:v>14.635182133475</c:v>
                </c:pt>
                <c:pt idx="6">
                  <c:v>15.149226053174999</c:v>
                </c:pt>
                <c:pt idx="7">
                  <c:v>15.1866738322</c:v>
                </c:pt>
                <c:pt idx="8">
                  <c:v>15.989143280624999</c:v>
                </c:pt>
                <c:pt idx="9">
                  <c:v>16.8301223142</c:v>
                </c:pt>
                <c:pt idx="10">
                  <c:v>17.276162001599999</c:v>
                </c:pt>
                <c:pt idx="11">
                  <c:v>17.810873495699997</c:v>
                </c:pt>
                <c:pt idx="12">
                  <c:v>17.967124049699997</c:v>
                </c:pt>
                <c:pt idx="13">
                  <c:v>19.494971078300001</c:v>
                </c:pt>
                <c:pt idx="14">
                  <c:v>17.739159835899997</c:v>
                </c:pt>
                <c:pt idx="15">
                  <c:v>16.608521668000002</c:v>
                </c:pt>
                <c:pt idx="16">
                  <c:v>17.776484108999998</c:v>
                </c:pt>
                <c:pt idx="17">
                  <c:v>17.124306217000001</c:v>
                </c:pt>
                <c:pt idx="18">
                  <c:v>17.381479239000001</c:v>
                </c:pt>
                <c:pt idx="19">
                  <c:v>18.5139845936</c:v>
                </c:pt>
                <c:pt idx="20">
                  <c:v>17.374668288399999</c:v>
                </c:pt>
                <c:pt idx="21">
                  <c:v>17.094027857</c:v>
                </c:pt>
                <c:pt idx="22">
                  <c:v>16.2304060381</c:v>
                </c:pt>
                <c:pt idx="23">
                  <c:v>16.411919849</c:v>
                </c:pt>
                <c:pt idx="24">
                  <c:v>17.676796284400002</c:v>
                </c:pt>
                <c:pt idx="25">
                  <c:v>16.906137993000002</c:v>
                </c:pt>
                <c:pt idx="26">
                  <c:v>17.179906011</c:v>
                </c:pt>
                <c:pt idx="27">
                  <c:v>18.318556167700002</c:v>
                </c:pt>
                <c:pt idx="28">
                  <c:v>18.757611040199997</c:v>
                </c:pt>
                <c:pt idx="29">
                  <c:v>18.868952060000002</c:v>
                </c:pt>
                <c:pt idx="30">
                  <c:v>17.658028480200002</c:v>
                </c:pt>
                <c:pt idx="31">
                  <c:v>17.488367833200002</c:v>
                </c:pt>
                <c:pt idx="32">
                  <c:v>17.348377209500001</c:v>
                </c:pt>
                <c:pt idx="33">
                  <c:v>17.830151667100001</c:v>
                </c:pt>
                <c:pt idx="34">
                  <c:v>17.957519273700001</c:v>
                </c:pt>
                <c:pt idx="35">
                  <c:v>18.2177691869</c:v>
                </c:pt>
                <c:pt idx="36">
                  <c:v>18.660874393700002</c:v>
                </c:pt>
                <c:pt idx="37">
                  <c:v>19.065407409299997</c:v>
                </c:pt>
                <c:pt idx="38">
                  <c:v>18.8537908393</c:v>
                </c:pt>
                <c:pt idx="39">
                  <c:v>19.439492201799997</c:v>
                </c:pt>
                <c:pt idx="40">
                  <c:v>19.812883150900003</c:v>
                </c:pt>
                <c:pt idx="41">
                  <c:v>19.990756019199999</c:v>
                </c:pt>
                <c:pt idx="42">
                  <c:v>20.585528891099997</c:v>
                </c:pt>
                <c:pt idx="43">
                  <c:v>21.0976480701</c:v>
                </c:pt>
                <c:pt idx="44">
                  <c:v>21.300011704500001</c:v>
                </c:pt>
                <c:pt idx="45">
                  <c:v>21.752163025400002</c:v>
                </c:pt>
                <c:pt idx="46">
                  <c:v>20.276838589599997</c:v>
                </c:pt>
                <c:pt idx="47">
                  <c:v>20.758073368150001</c:v>
                </c:pt>
                <c:pt idx="48">
                  <c:v>20.123121706800003</c:v>
                </c:pt>
                <c:pt idx="49">
                  <c:v>20.193137439299999</c:v>
                </c:pt>
                <c:pt idx="50">
                  <c:v>20.03537</c:v>
                </c:pt>
                <c:pt idx="51">
                  <c:v>19.480129999999999</c:v>
                </c:pt>
                <c:pt idx="52">
                  <c:v>18.702750000000002</c:v>
                </c:pt>
              </c:numCache>
            </c:numRef>
          </c:val>
          <c:smooth val="0"/>
        </c:ser>
        <c:dLbls>
          <c:showLegendKey val="0"/>
          <c:showVal val="0"/>
          <c:showCatName val="0"/>
          <c:showSerName val="0"/>
          <c:showPercent val="0"/>
          <c:showBubbleSize val="0"/>
        </c:dLbls>
        <c:marker val="1"/>
        <c:smooth val="0"/>
        <c:axId val="194987520"/>
        <c:axId val="194989440"/>
      </c:lineChart>
      <c:catAx>
        <c:axId val="1949875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4989440"/>
        <c:crosses val="autoZero"/>
        <c:auto val="1"/>
        <c:lblAlgn val="ctr"/>
        <c:lblOffset val="100"/>
        <c:tickLblSkip val="3"/>
        <c:noMultiLvlLbl val="0"/>
      </c:catAx>
      <c:valAx>
        <c:axId val="194989440"/>
        <c:scaling>
          <c:orientation val="minMax"/>
        </c:scaling>
        <c:delete val="0"/>
        <c:axPos val="l"/>
        <c:majorGridlines/>
        <c:title>
          <c:tx>
            <c:rich>
              <a:bodyPr/>
              <a:lstStyle/>
              <a:p>
                <a:pPr>
                  <a:defRPr/>
                </a:pPr>
                <a:r>
                  <a:rPr lang="en-US"/>
                  <a:t>Billion $</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4987520"/>
        <c:crosses val="autoZero"/>
        <c:crossBetween val="between"/>
      </c:valAx>
    </c:plotArea>
    <c:legend>
      <c:legendPos val="r"/>
      <c:layout/>
      <c:overlay val="0"/>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Coal Consumed</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CostNonrenewEnergy!$C$2:$BD$2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CostNonrenewEnergy!$C$4:$BC$4</c:f>
              <c:numCache>
                <c:formatCode>#,##0.00</c:formatCode>
                <c:ptCount val="53"/>
                <c:pt idx="0">
                  <c:v>226566.02968000001</c:v>
                </c:pt>
                <c:pt idx="1">
                  <c:v>230214.32474000001</c:v>
                </c:pt>
                <c:pt idx="2">
                  <c:v>252310.16644999999</c:v>
                </c:pt>
                <c:pt idx="3">
                  <c:v>275327.75248999998</c:v>
                </c:pt>
                <c:pt idx="4">
                  <c:v>300629.29479000001</c:v>
                </c:pt>
                <c:pt idx="5">
                  <c:v>327393.00871000002</c:v>
                </c:pt>
                <c:pt idx="6">
                  <c:v>339046.07990999997</c:v>
                </c:pt>
                <c:pt idx="7">
                  <c:v>350715.13215000002</c:v>
                </c:pt>
                <c:pt idx="8">
                  <c:v>362795.31047000003</c:v>
                </c:pt>
                <c:pt idx="9">
                  <c:v>355397.11705</c:v>
                </c:pt>
                <c:pt idx="10">
                  <c:v>311291.83750999998</c:v>
                </c:pt>
                <c:pt idx="11">
                  <c:v>273953.03363999998</c:v>
                </c:pt>
                <c:pt idx="12">
                  <c:v>226421.02916999999</c:v>
                </c:pt>
                <c:pt idx="13">
                  <c:v>256761.06294</c:v>
                </c:pt>
                <c:pt idx="14">
                  <c:v>217510.20634</c:v>
                </c:pt>
                <c:pt idx="15">
                  <c:v>197160.45326000001</c:v>
                </c:pt>
                <c:pt idx="16">
                  <c:v>245318.02136000001</c:v>
                </c:pt>
                <c:pt idx="17">
                  <c:v>189727.64772000001</c:v>
                </c:pt>
                <c:pt idx="18">
                  <c:v>209720.16204</c:v>
                </c:pt>
                <c:pt idx="19">
                  <c:v>240709.43595000001</c:v>
                </c:pt>
                <c:pt idx="20">
                  <c:v>235709.99199000001</c:v>
                </c:pt>
                <c:pt idx="21">
                  <c:v>210368.14569999999</c:v>
                </c:pt>
                <c:pt idx="22">
                  <c:v>217255.68145</c:v>
                </c:pt>
                <c:pt idx="23">
                  <c:v>232599.99341</c:v>
                </c:pt>
                <c:pt idx="24">
                  <c:v>270157.56962000002</c:v>
                </c:pt>
                <c:pt idx="25">
                  <c:v>256210.44200000001</c:v>
                </c:pt>
                <c:pt idx="26">
                  <c:v>275041.89600000001</c:v>
                </c:pt>
                <c:pt idx="27">
                  <c:v>288900.91360999999</c:v>
                </c:pt>
                <c:pt idx="28">
                  <c:v>301217.46286999999</c:v>
                </c:pt>
                <c:pt idx="29">
                  <c:v>295785.10012000002</c:v>
                </c:pt>
                <c:pt idx="30">
                  <c:v>286482.46110999997</c:v>
                </c:pt>
                <c:pt idx="31">
                  <c:v>274761.37224</c:v>
                </c:pt>
                <c:pt idx="32">
                  <c:v>247492.51899000001</c:v>
                </c:pt>
                <c:pt idx="33">
                  <c:v>261730.40594</c:v>
                </c:pt>
                <c:pt idx="34">
                  <c:v>268862.39121999999</c:v>
                </c:pt>
                <c:pt idx="35">
                  <c:v>289561.84881</c:v>
                </c:pt>
                <c:pt idx="36">
                  <c:v>292476.30895999999</c:v>
                </c:pt>
                <c:pt idx="37">
                  <c:v>289685.97154</c:v>
                </c:pt>
                <c:pt idx="38">
                  <c:v>303895.7464</c:v>
                </c:pt>
                <c:pt idx="39">
                  <c:v>305186.49076999997</c:v>
                </c:pt>
                <c:pt idx="40">
                  <c:v>312161.68278999999</c:v>
                </c:pt>
                <c:pt idx="41">
                  <c:v>318850.90356000001</c:v>
                </c:pt>
                <c:pt idx="42">
                  <c:v>325833.74917999998</c:v>
                </c:pt>
                <c:pt idx="43">
                  <c:v>329590.48955</c:v>
                </c:pt>
                <c:pt idx="44">
                  <c:v>327238.97633999999</c:v>
                </c:pt>
                <c:pt idx="45">
                  <c:v>329303.60051000002</c:v>
                </c:pt>
                <c:pt idx="46">
                  <c:v>324657.46837000002</c:v>
                </c:pt>
                <c:pt idx="47">
                  <c:v>327978.95606</c:v>
                </c:pt>
                <c:pt idx="48">
                  <c:v>309294</c:v>
                </c:pt>
                <c:pt idx="49">
                  <c:v>266860</c:v>
                </c:pt>
                <c:pt idx="50">
                  <c:v>266067</c:v>
                </c:pt>
                <c:pt idx="51">
                  <c:v>241190</c:v>
                </c:pt>
                <c:pt idx="52">
                  <c:v>192400</c:v>
                </c:pt>
              </c:numCache>
            </c:numRef>
          </c:val>
          <c:smooth val="0"/>
        </c:ser>
        <c:dLbls>
          <c:showLegendKey val="0"/>
          <c:showVal val="0"/>
          <c:showCatName val="0"/>
          <c:showSerName val="0"/>
          <c:showPercent val="0"/>
          <c:showBubbleSize val="0"/>
        </c:dLbls>
        <c:marker val="1"/>
        <c:smooth val="0"/>
        <c:axId val="195008768"/>
        <c:axId val="195031424"/>
      </c:lineChart>
      <c:catAx>
        <c:axId val="19500876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5031424"/>
        <c:crosses val="autoZero"/>
        <c:auto val="1"/>
        <c:lblAlgn val="ctr"/>
        <c:lblOffset val="100"/>
        <c:tickLblSkip val="3"/>
        <c:noMultiLvlLbl val="0"/>
      </c:catAx>
      <c:valAx>
        <c:axId val="195031424"/>
        <c:scaling>
          <c:orientation val="minMax"/>
        </c:scaling>
        <c:delete val="0"/>
        <c:axPos val="l"/>
        <c:majorGridlines/>
        <c:title>
          <c:tx>
            <c:rich>
              <a:bodyPr/>
              <a:lstStyle/>
              <a:p>
                <a:pPr>
                  <a:defRPr/>
                </a:pPr>
                <a:r>
                  <a:rPr lang="en-US"/>
                  <a:t>billion btu</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5008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Natural</a:t>
            </a:r>
            <a:r>
              <a:rPr lang="en-US" baseline="0"/>
              <a:t> Gas Consumed</a:t>
            </a:r>
            <a:endParaRPr lang="en-US"/>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CostNonrenewEnergy!$C$2:$BD$2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CostNonrenewEnergy!$C$5:$BC$5</c:f>
              <c:numCache>
                <c:formatCode>#,##0.00</c:formatCode>
                <c:ptCount val="53"/>
                <c:pt idx="0">
                  <c:v>73315.405559999999</c:v>
                </c:pt>
                <c:pt idx="1">
                  <c:v>76519.620880000002</c:v>
                </c:pt>
                <c:pt idx="2">
                  <c:v>84795.735010000004</c:v>
                </c:pt>
                <c:pt idx="3">
                  <c:v>89003.732440000007</c:v>
                </c:pt>
                <c:pt idx="4">
                  <c:v>94255.095329999996</c:v>
                </c:pt>
                <c:pt idx="5">
                  <c:v>100978.99612</c:v>
                </c:pt>
                <c:pt idx="6">
                  <c:v>102825.73104</c:v>
                </c:pt>
                <c:pt idx="7">
                  <c:v>121286.74304</c:v>
                </c:pt>
                <c:pt idx="8">
                  <c:v>129701.78866999999</c:v>
                </c:pt>
                <c:pt idx="9">
                  <c:v>147719.70048</c:v>
                </c:pt>
                <c:pt idx="10">
                  <c:v>159583.77721999999</c:v>
                </c:pt>
                <c:pt idx="11">
                  <c:v>164689.46539999999</c:v>
                </c:pt>
                <c:pt idx="12">
                  <c:v>180283.10870000001</c:v>
                </c:pt>
                <c:pt idx="13">
                  <c:v>177629.41164000001</c:v>
                </c:pt>
                <c:pt idx="14">
                  <c:v>175541.43695999999</c:v>
                </c:pt>
                <c:pt idx="15">
                  <c:v>141853.71567999999</c:v>
                </c:pt>
                <c:pt idx="16">
                  <c:v>149642.35399999999</c:v>
                </c:pt>
                <c:pt idx="17">
                  <c:v>135167.71849</c:v>
                </c:pt>
                <c:pt idx="18">
                  <c:v>139641.94441</c:v>
                </c:pt>
                <c:pt idx="19">
                  <c:v>179631.26561</c:v>
                </c:pt>
                <c:pt idx="20">
                  <c:v>163449.12377999999</c:v>
                </c:pt>
                <c:pt idx="21">
                  <c:v>177743.41104000001</c:v>
                </c:pt>
                <c:pt idx="22">
                  <c:v>160833.48202</c:v>
                </c:pt>
                <c:pt idx="23">
                  <c:v>148686.56883</c:v>
                </c:pt>
                <c:pt idx="24">
                  <c:v>163124.31865999999</c:v>
                </c:pt>
                <c:pt idx="25">
                  <c:v>155966.18077000001</c:v>
                </c:pt>
                <c:pt idx="26">
                  <c:v>158032.28434000001</c:v>
                </c:pt>
                <c:pt idx="27">
                  <c:v>174283.23123</c:v>
                </c:pt>
                <c:pt idx="28">
                  <c:v>178433.40372</c:v>
                </c:pt>
                <c:pt idx="29">
                  <c:v>199615.14593</c:v>
                </c:pt>
                <c:pt idx="30">
                  <c:v>180590.50143</c:v>
                </c:pt>
                <c:pt idx="31">
                  <c:v>183034.72521999999</c:v>
                </c:pt>
                <c:pt idx="32">
                  <c:v>190092.34140999999</c:v>
                </c:pt>
                <c:pt idx="33">
                  <c:v>186992.34246000001</c:v>
                </c:pt>
                <c:pt idx="34">
                  <c:v>192015.52294</c:v>
                </c:pt>
                <c:pt idx="35">
                  <c:v>199201.55403</c:v>
                </c:pt>
                <c:pt idx="36">
                  <c:v>201734.64176999999</c:v>
                </c:pt>
                <c:pt idx="37">
                  <c:v>219192.05003000001</c:v>
                </c:pt>
                <c:pt idx="38">
                  <c:v>195539.78294999999</c:v>
                </c:pt>
                <c:pt idx="39">
                  <c:v>203039.59030000001</c:v>
                </c:pt>
                <c:pt idx="40">
                  <c:v>219360.2028</c:v>
                </c:pt>
                <c:pt idx="41">
                  <c:v>184976.00636999999</c:v>
                </c:pt>
                <c:pt idx="42">
                  <c:v>203538.27111</c:v>
                </c:pt>
                <c:pt idx="43">
                  <c:v>204510.63381999999</c:v>
                </c:pt>
                <c:pt idx="44">
                  <c:v>201929.35006</c:v>
                </c:pt>
                <c:pt idx="45">
                  <c:v>212229.89420000001</c:v>
                </c:pt>
                <c:pt idx="46">
                  <c:v>189221.44190999999</c:v>
                </c:pt>
                <c:pt idx="47">
                  <c:v>208693</c:v>
                </c:pt>
                <c:pt idx="48">
                  <c:v>202931</c:v>
                </c:pt>
                <c:pt idx="49">
                  <c:v>203780</c:v>
                </c:pt>
                <c:pt idx="50">
                  <c:v>217744</c:v>
                </c:pt>
                <c:pt idx="51">
                  <c:v>199170</c:v>
                </c:pt>
                <c:pt idx="52">
                  <c:v>216700</c:v>
                </c:pt>
              </c:numCache>
            </c:numRef>
          </c:val>
          <c:smooth val="0"/>
        </c:ser>
        <c:dLbls>
          <c:showLegendKey val="0"/>
          <c:showVal val="0"/>
          <c:showCatName val="0"/>
          <c:showSerName val="0"/>
          <c:showPercent val="0"/>
          <c:showBubbleSize val="0"/>
        </c:dLbls>
        <c:marker val="1"/>
        <c:smooth val="0"/>
        <c:axId val="195132416"/>
        <c:axId val="195138688"/>
      </c:lineChart>
      <c:catAx>
        <c:axId val="19513241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5138688"/>
        <c:crosses val="autoZero"/>
        <c:auto val="1"/>
        <c:lblAlgn val="ctr"/>
        <c:lblOffset val="100"/>
        <c:tickLblSkip val="3"/>
        <c:noMultiLvlLbl val="0"/>
      </c:catAx>
      <c:valAx>
        <c:axId val="195138688"/>
        <c:scaling>
          <c:orientation val="minMax"/>
        </c:scaling>
        <c:delete val="0"/>
        <c:axPos val="l"/>
        <c:majorGridlines/>
        <c:title>
          <c:tx>
            <c:rich>
              <a:bodyPr/>
              <a:lstStyle/>
              <a:p>
                <a:pPr>
                  <a:defRPr/>
                </a:pPr>
                <a:r>
                  <a:rPr lang="en-US"/>
                  <a:t>Billion btu</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5132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Petroleum Products Consumed</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CostNonrenewEnergy!$C$2:$BD$2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CostNonrenewEnergy!$C$6:$BC$6</c:f>
              <c:numCache>
                <c:formatCode>#,##0.00</c:formatCode>
                <c:ptCount val="53"/>
                <c:pt idx="0">
                  <c:v>353293</c:v>
                </c:pt>
                <c:pt idx="1">
                  <c:v>348291</c:v>
                </c:pt>
                <c:pt idx="2">
                  <c:v>369798</c:v>
                </c:pt>
                <c:pt idx="3">
                  <c:v>374135</c:v>
                </c:pt>
                <c:pt idx="4">
                  <c:v>391729</c:v>
                </c:pt>
                <c:pt idx="5">
                  <c:v>410386</c:v>
                </c:pt>
                <c:pt idx="6">
                  <c:v>432689</c:v>
                </c:pt>
                <c:pt idx="7">
                  <c:v>412962</c:v>
                </c:pt>
                <c:pt idx="8">
                  <c:v>439144</c:v>
                </c:pt>
                <c:pt idx="9">
                  <c:v>465137</c:v>
                </c:pt>
                <c:pt idx="10">
                  <c:v>528963</c:v>
                </c:pt>
                <c:pt idx="11">
                  <c:v>587909</c:v>
                </c:pt>
                <c:pt idx="12">
                  <c:v>650963</c:v>
                </c:pt>
                <c:pt idx="13">
                  <c:v>695344</c:v>
                </c:pt>
                <c:pt idx="14">
                  <c:v>671759</c:v>
                </c:pt>
                <c:pt idx="15">
                  <c:v>593744</c:v>
                </c:pt>
                <c:pt idx="16">
                  <c:v>607423</c:v>
                </c:pt>
                <c:pt idx="17">
                  <c:v>617824</c:v>
                </c:pt>
                <c:pt idx="18">
                  <c:v>627558</c:v>
                </c:pt>
                <c:pt idx="19">
                  <c:v>601001</c:v>
                </c:pt>
                <c:pt idx="20">
                  <c:v>533066</c:v>
                </c:pt>
                <c:pt idx="21">
                  <c:v>496729</c:v>
                </c:pt>
                <c:pt idx="22">
                  <c:v>472197</c:v>
                </c:pt>
                <c:pt idx="23">
                  <c:v>486336</c:v>
                </c:pt>
                <c:pt idx="24">
                  <c:v>518002</c:v>
                </c:pt>
                <c:pt idx="25">
                  <c:v>484683</c:v>
                </c:pt>
                <c:pt idx="26">
                  <c:v>485990</c:v>
                </c:pt>
                <c:pt idx="27">
                  <c:v>516303</c:v>
                </c:pt>
                <c:pt idx="28">
                  <c:v>533837</c:v>
                </c:pt>
                <c:pt idx="29">
                  <c:v>571920</c:v>
                </c:pt>
                <c:pt idx="30">
                  <c:v>505878</c:v>
                </c:pt>
                <c:pt idx="31">
                  <c:v>492641</c:v>
                </c:pt>
                <c:pt idx="32">
                  <c:v>494480</c:v>
                </c:pt>
                <c:pt idx="33">
                  <c:v>519585</c:v>
                </c:pt>
                <c:pt idx="34">
                  <c:v>521706</c:v>
                </c:pt>
                <c:pt idx="35">
                  <c:v>483522</c:v>
                </c:pt>
                <c:pt idx="36">
                  <c:v>503267</c:v>
                </c:pt>
                <c:pt idx="37">
                  <c:v>510436</c:v>
                </c:pt>
                <c:pt idx="38">
                  <c:v>543711</c:v>
                </c:pt>
                <c:pt idx="39">
                  <c:v>569281</c:v>
                </c:pt>
                <c:pt idx="40">
                  <c:v>547966</c:v>
                </c:pt>
                <c:pt idx="41">
                  <c:v>567195</c:v>
                </c:pt>
                <c:pt idx="42">
                  <c:v>548454</c:v>
                </c:pt>
                <c:pt idx="43">
                  <c:v>567921</c:v>
                </c:pt>
                <c:pt idx="44">
                  <c:v>593018</c:v>
                </c:pt>
                <c:pt idx="45">
                  <c:v>611911</c:v>
                </c:pt>
                <c:pt idx="46">
                  <c:v>555167</c:v>
                </c:pt>
                <c:pt idx="47">
                  <c:v>554702</c:v>
                </c:pt>
                <c:pt idx="48">
                  <c:v>530782</c:v>
                </c:pt>
                <c:pt idx="49">
                  <c:v>540156</c:v>
                </c:pt>
                <c:pt idx="50">
                  <c:v>517982</c:v>
                </c:pt>
                <c:pt idx="51">
                  <c:v>498362</c:v>
                </c:pt>
                <c:pt idx="52">
                  <c:v>486900</c:v>
                </c:pt>
              </c:numCache>
            </c:numRef>
          </c:val>
          <c:smooth val="0"/>
        </c:ser>
        <c:dLbls>
          <c:showLegendKey val="0"/>
          <c:showVal val="0"/>
          <c:showCatName val="0"/>
          <c:showSerName val="0"/>
          <c:showPercent val="0"/>
          <c:showBubbleSize val="0"/>
        </c:dLbls>
        <c:marker val="1"/>
        <c:smooth val="0"/>
        <c:axId val="202772480"/>
        <c:axId val="202774400"/>
      </c:lineChart>
      <c:catAx>
        <c:axId val="2027724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202774400"/>
        <c:crosses val="autoZero"/>
        <c:auto val="1"/>
        <c:lblAlgn val="ctr"/>
        <c:lblOffset val="100"/>
        <c:tickLblSkip val="3"/>
        <c:noMultiLvlLbl val="0"/>
      </c:catAx>
      <c:valAx>
        <c:axId val="202774400"/>
        <c:scaling>
          <c:orientation val="minMax"/>
        </c:scaling>
        <c:delete val="0"/>
        <c:axPos val="l"/>
        <c:majorGridlines/>
        <c:title>
          <c:tx>
            <c:rich>
              <a:bodyPr/>
              <a:lstStyle/>
              <a:p>
                <a:pPr>
                  <a:defRPr/>
                </a:pPr>
                <a:r>
                  <a:rPr lang="en-US"/>
                  <a:t>Billion btu</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27724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Replacement Costs Outside Electricity Sector</a:t>
            </a:r>
          </a:p>
        </c:rich>
      </c:tx>
      <c:layout>
        <c:manualLayout>
          <c:xMode val="edge"/>
          <c:yMode val="edge"/>
          <c:x val="0.45325150764358557"/>
          <c:y val="2.3517887019700395E-2"/>
        </c:manualLayout>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CostNonrenewEnergy!$C$2:$BD$2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CostNonrenewEnergy!$C$7:$BC$7</c:f>
              <c:numCache>
                <c:formatCode>#,##0.00</c:formatCode>
                <c:ptCount val="53"/>
                <c:pt idx="0">
                  <c:v>11395278902.200001</c:v>
                </c:pt>
                <c:pt idx="1">
                  <c:v>11331188058</c:v>
                </c:pt>
                <c:pt idx="2">
                  <c:v>12148865334.400002</c:v>
                </c:pt>
                <c:pt idx="3">
                  <c:v>12461058654.200001</c:v>
                </c:pt>
                <c:pt idx="4">
                  <c:v>13156330093.200001</c:v>
                </c:pt>
                <c:pt idx="5">
                  <c:v>13563014693.6</c:v>
                </c:pt>
                <c:pt idx="6">
                  <c:v>13944655898.799999</c:v>
                </c:pt>
                <c:pt idx="7">
                  <c:v>13913981782.200001</c:v>
                </c:pt>
                <c:pt idx="8">
                  <c:v>14526751760</c:v>
                </c:pt>
                <c:pt idx="9">
                  <c:v>15178165182.199999</c:v>
                </c:pt>
                <c:pt idx="10">
                  <c:v>15473737951.6</c:v>
                </c:pt>
                <c:pt idx="11">
                  <c:v>15851159358.199999</c:v>
                </c:pt>
                <c:pt idx="12">
                  <c:v>15956023787.199999</c:v>
                </c:pt>
                <c:pt idx="13">
                  <c:v>17257213615.799999</c:v>
                </c:pt>
                <c:pt idx="14">
                  <c:v>15561117098.4</c:v>
                </c:pt>
                <c:pt idx="15">
                  <c:v>14421850118.000002</c:v>
                </c:pt>
                <c:pt idx="16">
                  <c:v>15340209884</c:v>
                </c:pt>
                <c:pt idx="17">
                  <c:v>14546388392</c:v>
                </c:pt>
                <c:pt idx="18">
                  <c:v>14693931089</c:v>
                </c:pt>
                <c:pt idx="19">
                  <c:v>15776378743.599998</c:v>
                </c:pt>
                <c:pt idx="20">
                  <c:v>14459488188.4</c:v>
                </c:pt>
                <c:pt idx="21">
                  <c:v>14105256057</c:v>
                </c:pt>
                <c:pt idx="22">
                  <c:v>13289869750.599998</c:v>
                </c:pt>
                <c:pt idx="23">
                  <c:v>13356756899</c:v>
                </c:pt>
                <c:pt idx="24">
                  <c:v>14496020259.400002</c:v>
                </c:pt>
                <c:pt idx="25">
                  <c:v>13598385468</c:v>
                </c:pt>
                <c:pt idx="26">
                  <c:v>13672505611</c:v>
                </c:pt>
                <c:pt idx="27">
                  <c:v>14530157130.200001</c:v>
                </c:pt>
                <c:pt idx="28">
                  <c:v>14711920090.199999</c:v>
                </c:pt>
                <c:pt idx="29">
                  <c:v>14714389060.000002</c:v>
                </c:pt>
                <c:pt idx="30">
                  <c:v>13524981730.199999</c:v>
                </c:pt>
                <c:pt idx="31">
                  <c:v>13139572158.200001</c:v>
                </c:pt>
                <c:pt idx="32">
                  <c:v>13046515922</c:v>
                </c:pt>
                <c:pt idx="33">
                  <c:v>13261415029.600002</c:v>
                </c:pt>
                <c:pt idx="34">
                  <c:v>13342586661.200001</c:v>
                </c:pt>
                <c:pt idx="35">
                  <c:v>13430115774.4</c:v>
                </c:pt>
                <c:pt idx="36">
                  <c:v>13888619406.200001</c:v>
                </c:pt>
                <c:pt idx="37">
                  <c:v>14281247521.799997</c:v>
                </c:pt>
                <c:pt idx="38">
                  <c:v>13945574501.799999</c:v>
                </c:pt>
                <c:pt idx="39">
                  <c:v>14394064751.799997</c:v>
                </c:pt>
                <c:pt idx="40">
                  <c:v>14655179463.4</c:v>
                </c:pt>
                <c:pt idx="41">
                  <c:v>14700812094.200001</c:v>
                </c:pt>
                <c:pt idx="42">
                  <c:v>14747623653.6</c:v>
                </c:pt>
                <c:pt idx="43">
                  <c:v>15094133157.599998</c:v>
                </c:pt>
                <c:pt idx="44">
                  <c:v>15666396042</c:v>
                </c:pt>
                <c:pt idx="45">
                  <c:v>15919260250.4</c:v>
                </c:pt>
                <c:pt idx="46">
                  <c:v>14933312639.6</c:v>
                </c:pt>
                <c:pt idx="47">
                  <c:v>15180959558.4</c:v>
                </c:pt>
                <c:pt idx="48">
                  <c:v>14754847956.800001</c:v>
                </c:pt>
                <c:pt idx="49">
                  <c:v>14881854801.799999</c:v>
                </c:pt>
                <c:pt idx="50">
                  <c:v>14464420000</c:v>
                </c:pt>
                <c:pt idx="51">
                  <c:v>13909180000</c:v>
                </c:pt>
                <c:pt idx="52">
                  <c:v>13444000000</c:v>
                </c:pt>
              </c:numCache>
            </c:numRef>
          </c:val>
          <c:smooth val="0"/>
        </c:ser>
        <c:dLbls>
          <c:showLegendKey val="0"/>
          <c:showVal val="0"/>
          <c:showCatName val="0"/>
          <c:showSerName val="0"/>
          <c:showPercent val="0"/>
          <c:showBubbleSize val="0"/>
        </c:dLbls>
        <c:marker val="1"/>
        <c:smooth val="0"/>
        <c:axId val="202797824"/>
        <c:axId val="202799744"/>
      </c:lineChart>
      <c:catAx>
        <c:axId val="20279782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202799744"/>
        <c:crosses val="autoZero"/>
        <c:auto val="1"/>
        <c:lblAlgn val="ctr"/>
        <c:lblOffset val="100"/>
        <c:tickLblSkip val="3"/>
        <c:noMultiLvlLbl val="0"/>
      </c:catAx>
      <c:valAx>
        <c:axId val="202799744"/>
        <c:scaling>
          <c:orientation val="minMax"/>
        </c:scaling>
        <c:delete val="0"/>
        <c:axPos val="l"/>
        <c:majorGridlines/>
        <c:title>
          <c:tx>
            <c:rich>
              <a:bodyPr/>
              <a:lstStyle/>
              <a:p>
                <a:pPr>
                  <a:defRPr/>
                </a:pPr>
                <a:r>
                  <a:rPr lang="en-US"/>
                  <a:t>$ per year</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2797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Replacement Costs Electricity Sector</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CostNonrenewEnergy!$C$2:$BD$2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CostNonrenewEnergy!$C$8:$BC$8</c:f>
              <c:numCache>
                <c:formatCode>#,##0.00</c:formatCode>
                <c:ptCount val="53"/>
                <c:pt idx="0">
                  <c:v>647374985.25</c:v>
                </c:pt>
                <c:pt idx="1">
                  <c:v>721720334.12499988</c:v>
                </c:pt>
                <c:pt idx="2">
                  <c:v>782681364.5</c:v>
                </c:pt>
                <c:pt idx="3">
                  <c:v>876436241.62500012</c:v>
                </c:pt>
                <c:pt idx="4">
                  <c:v>968141674.49999976</c:v>
                </c:pt>
                <c:pt idx="5">
                  <c:v>1072167439.8749999</c:v>
                </c:pt>
                <c:pt idx="6">
                  <c:v>1204570154.3749998</c:v>
                </c:pt>
                <c:pt idx="7">
                  <c:v>1272692050</c:v>
                </c:pt>
                <c:pt idx="8">
                  <c:v>1462391520.625</c:v>
                </c:pt>
                <c:pt idx="9">
                  <c:v>1651957132</c:v>
                </c:pt>
                <c:pt idx="10">
                  <c:v>1802424050</c:v>
                </c:pt>
                <c:pt idx="11">
                  <c:v>1959714137.4999998</c:v>
                </c:pt>
                <c:pt idx="12">
                  <c:v>2011100262.4999998</c:v>
                </c:pt>
                <c:pt idx="13">
                  <c:v>2237757462.5</c:v>
                </c:pt>
                <c:pt idx="14">
                  <c:v>2178042737.4999995</c:v>
                </c:pt>
                <c:pt idx="15">
                  <c:v>2186671550</c:v>
                </c:pt>
                <c:pt idx="16">
                  <c:v>2436274225</c:v>
                </c:pt>
                <c:pt idx="17">
                  <c:v>2577917825</c:v>
                </c:pt>
                <c:pt idx="18">
                  <c:v>2687548150</c:v>
                </c:pt>
                <c:pt idx="19">
                  <c:v>2737605850</c:v>
                </c:pt>
                <c:pt idx="20">
                  <c:v>2915180099.9999995</c:v>
                </c:pt>
                <c:pt idx="21">
                  <c:v>2988771800</c:v>
                </c:pt>
                <c:pt idx="22">
                  <c:v>2940536287.5</c:v>
                </c:pt>
                <c:pt idx="23">
                  <c:v>3055162950</c:v>
                </c:pt>
                <c:pt idx="24">
                  <c:v>3180776025</c:v>
                </c:pt>
                <c:pt idx="25">
                  <c:v>3307752525</c:v>
                </c:pt>
                <c:pt idx="26">
                  <c:v>3507400400</c:v>
                </c:pt>
                <c:pt idx="27">
                  <c:v>3788399037.4999995</c:v>
                </c:pt>
                <c:pt idx="28">
                  <c:v>4045690949.9999995</c:v>
                </c:pt>
                <c:pt idx="29">
                  <c:v>4154562999.9999995</c:v>
                </c:pt>
                <c:pt idx="30">
                  <c:v>4133046750.0000005</c:v>
                </c:pt>
                <c:pt idx="31">
                  <c:v>4348795675</c:v>
                </c:pt>
                <c:pt idx="32">
                  <c:v>4301861287.5</c:v>
                </c:pt>
                <c:pt idx="33">
                  <c:v>4568736637.5</c:v>
                </c:pt>
                <c:pt idx="34">
                  <c:v>4614932612.5</c:v>
                </c:pt>
                <c:pt idx="35">
                  <c:v>4787653412.5</c:v>
                </c:pt>
                <c:pt idx="36">
                  <c:v>4772254987.499999</c:v>
                </c:pt>
                <c:pt idx="37">
                  <c:v>4784159887.5</c:v>
                </c:pt>
                <c:pt idx="38">
                  <c:v>4908216337.5</c:v>
                </c:pt>
                <c:pt idx="39">
                  <c:v>5045427450</c:v>
                </c:pt>
                <c:pt idx="40">
                  <c:v>5157703687.5</c:v>
                </c:pt>
                <c:pt idx="41">
                  <c:v>5289943924.999999</c:v>
                </c:pt>
                <c:pt idx="42">
                  <c:v>5837905237.5</c:v>
                </c:pt>
                <c:pt idx="43">
                  <c:v>6003514912.5</c:v>
                </c:pt>
                <c:pt idx="44">
                  <c:v>5633615662.5</c:v>
                </c:pt>
                <c:pt idx="45">
                  <c:v>5832902775</c:v>
                </c:pt>
                <c:pt idx="46">
                  <c:v>5343525949.999999</c:v>
                </c:pt>
                <c:pt idx="47">
                  <c:v>5577113809.75</c:v>
                </c:pt>
                <c:pt idx="48">
                  <c:v>5368273750</c:v>
                </c:pt>
                <c:pt idx="49">
                  <c:v>5311282637.5</c:v>
                </c:pt>
                <c:pt idx="50">
                  <c:v>5570950000</c:v>
                </c:pt>
                <c:pt idx="51">
                  <c:v>5570950000</c:v>
                </c:pt>
                <c:pt idx="52">
                  <c:v>5258750000</c:v>
                </c:pt>
              </c:numCache>
            </c:numRef>
          </c:val>
          <c:smooth val="0"/>
        </c:ser>
        <c:dLbls>
          <c:showLegendKey val="0"/>
          <c:showVal val="0"/>
          <c:showCatName val="0"/>
          <c:showSerName val="0"/>
          <c:showPercent val="0"/>
          <c:showBubbleSize val="0"/>
        </c:dLbls>
        <c:marker val="1"/>
        <c:smooth val="0"/>
        <c:axId val="202810880"/>
        <c:axId val="202812800"/>
      </c:lineChart>
      <c:catAx>
        <c:axId val="2028108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202812800"/>
        <c:crosses val="autoZero"/>
        <c:auto val="1"/>
        <c:lblAlgn val="ctr"/>
        <c:lblOffset val="100"/>
        <c:tickLblSkip val="3"/>
        <c:noMultiLvlLbl val="0"/>
      </c:catAx>
      <c:valAx>
        <c:axId val="202812800"/>
        <c:scaling>
          <c:orientation val="minMax"/>
        </c:scaling>
        <c:delete val="0"/>
        <c:axPos val="l"/>
        <c:majorGridlines/>
        <c:title>
          <c:tx>
            <c:rich>
              <a:bodyPr/>
              <a:lstStyle/>
              <a:p>
                <a:pPr>
                  <a:defRPr/>
                </a:pPr>
                <a:r>
                  <a:rPr lang="en-US"/>
                  <a:t>$ per year</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2810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 Air Pollution</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CostAirPollu!$C$2:$BD$2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CostAirPollu!$C$3:$BD$3</c:f>
              <c:numCache>
                <c:formatCode>General</c:formatCode>
                <c:ptCount val="54"/>
                <c:pt idx="0">
                  <c:v>1.305920496016469</c:v>
                </c:pt>
                <c:pt idx="1">
                  <c:v>1.3372625879208642</c:v>
                </c:pt>
                <c:pt idx="2">
                  <c:v>1.3693568900309652</c:v>
                </c:pt>
                <c:pt idx="3">
                  <c:v>1.4022214553917083</c:v>
                </c:pt>
                <c:pt idx="4">
                  <c:v>1.4358747703211094</c:v>
                </c:pt>
                <c:pt idx="5">
                  <c:v>1.470335764808816</c:v>
                </c:pt>
                <c:pt idx="6">
                  <c:v>1.5056238231642278</c:v>
                </c:pt>
                <c:pt idx="7">
                  <c:v>1.5417587949201694</c:v>
                </c:pt>
                <c:pt idx="8">
                  <c:v>1.5787610059982538</c:v>
                </c:pt>
                <c:pt idx="9">
                  <c:v>1.6166512701422118</c:v>
                </c:pt>
                <c:pt idx="10">
                  <c:v>1.6554509006256248</c:v>
                </c:pt>
                <c:pt idx="11">
                  <c:v>1.6057873736068562</c:v>
                </c:pt>
                <c:pt idx="12">
                  <c:v>1.5576137523986504</c:v>
                </c:pt>
                <c:pt idx="13">
                  <c:v>1.5108853398266908</c:v>
                </c:pt>
                <c:pt idx="14">
                  <c:v>1.4655587796318903</c:v>
                </c:pt>
                <c:pt idx="15">
                  <c:v>1.4215920162429336</c:v>
                </c:pt>
                <c:pt idx="16">
                  <c:v>1.3817874397881313</c:v>
                </c:pt>
                <c:pt idx="17">
                  <c:v>1.3419828633333291</c:v>
                </c:pt>
                <c:pt idx="18">
                  <c:v>1.302178286878527</c:v>
                </c:pt>
                <c:pt idx="19">
                  <c:v>1.2623737104237247</c:v>
                </c:pt>
                <c:pt idx="20">
                  <c:v>1.2225691339689229</c:v>
                </c:pt>
                <c:pt idx="21">
                  <c:v>0.83937582332194705</c:v>
                </c:pt>
                <c:pt idx="22">
                  <c:v>0.83937582332194705</c:v>
                </c:pt>
                <c:pt idx="23">
                  <c:v>1.2225691339689229</c:v>
                </c:pt>
                <c:pt idx="24">
                  <c:v>0.74813932078695278</c:v>
                </c:pt>
                <c:pt idx="25">
                  <c:v>0.98535422737793787</c:v>
                </c:pt>
                <c:pt idx="26">
                  <c:v>0.94885962636394006</c:v>
                </c:pt>
                <c:pt idx="27">
                  <c:v>1.0036015278849366</c:v>
                </c:pt>
                <c:pt idx="28">
                  <c:v>1.0765907299129318</c:v>
                </c:pt>
                <c:pt idx="29">
                  <c:v>0.71164471977295496</c:v>
                </c:pt>
                <c:pt idx="30">
                  <c:v>0.60216091673096195</c:v>
                </c:pt>
                <c:pt idx="31">
                  <c:v>0.98535422737793787</c:v>
                </c:pt>
                <c:pt idx="32">
                  <c:v>0.45618251267497123</c:v>
                </c:pt>
                <c:pt idx="33">
                  <c:v>1.0036015278849368</c:v>
                </c:pt>
                <c:pt idx="34">
                  <c:v>0.7846339218009506</c:v>
                </c:pt>
                <c:pt idx="35">
                  <c:v>0.76638662129395174</c:v>
                </c:pt>
                <c:pt idx="36">
                  <c:v>0.60216091673096206</c:v>
                </c:pt>
                <c:pt idx="37">
                  <c:v>0.63865551774495977</c:v>
                </c:pt>
                <c:pt idx="38">
                  <c:v>0.98535422737793799</c:v>
                </c:pt>
                <c:pt idx="39">
                  <c:v>0.8211285228149483</c:v>
                </c:pt>
                <c:pt idx="40">
                  <c:v>0.36494601013997696</c:v>
                </c:pt>
                <c:pt idx="41">
                  <c:v>0.52917171470296664</c:v>
                </c:pt>
                <c:pt idx="42">
                  <c:v>0.74813932078695278</c:v>
                </c:pt>
                <c:pt idx="43">
                  <c:v>0.21896760608398616</c:v>
                </c:pt>
                <c:pt idx="44">
                  <c:v>0.18247300506998848</c:v>
                </c:pt>
                <c:pt idx="45">
                  <c:v>0.51092441419596779</c:v>
                </c:pt>
                <c:pt idx="46">
                  <c:v>0.36494601013997696</c:v>
                </c:pt>
                <c:pt idx="47">
                  <c:v>0.45618251267497123</c:v>
                </c:pt>
                <c:pt idx="48">
                  <c:v>0.56566631571696424</c:v>
                </c:pt>
                <c:pt idx="49">
                  <c:v>0.20072030557698733</c:v>
                </c:pt>
                <c:pt idx="50">
                  <c:v>0.78463392180095048</c:v>
                </c:pt>
                <c:pt idx="51">
                  <c:v>0.49267711368896894</c:v>
                </c:pt>
                <c:pt idx="52">
                  <c:v>0.54741901520996539</c:v>
                </c:pt>
                <c:pt idx="53">
                  <c:v>0.16422570456298963</c:v>
                </c:pt>
              </c:numCache>
            </c:numRef>
          </c:val>
          <c:smooth val="0"/>
        </c:ser>
        <c:dLbls>
          <c:showLegendKey val="0"/>
          <c:showVal val="0"/>
          <c:showCatName val="0"/>
          <c:showSerName val="0"/>
          <c:showPercent val="0"/>
          <c:showBubbleSize val="0"/>
        </c:dLbls>
        <c:marker val="1"/>
        <c:smooth val="0"/>
        <c:axId val="194206336"/>
        <c:axId val="194228992"/>
      </c:lineChart>
      <c:catAx>
        <c:axId val="1942063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4228992"/>
        <c:crosses val="autoZero"/>
        <c:auto val="1"/>
        <c:lblAlgn val="ctr"/>
        <c:lblOffset val="100"/>
        <c:tickLblSkip val="3"/>
        <c:noMultiLvlLbl val="0"/>
      </c:catAx>
      <c:valAx>
        <c:axId val="194228992"/>
        <c:scaling>
          <c:orientation val="minMax"/>
          <c:max val="2"/>
          <c:min val="0"/>
        </c:scaling>
        <c:delete val="0"/>
        <c:axPos val="l"/>
        <c:majorGridlines/>
        <c:title>
          <c:tx>
            <c:rich>
              <a:bodyPr/>
              <a:lstStyle/>
              <a:p>
                <a:pPr>
                  <a:defRPr/>
                </a:pPr>
                <a:r>
                  <a:rPr lang="en-US"/>
                  <a:t>Billion $</a:t>
                </a:r>
              </a:p>
            </c:rich>
          </c:tx>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4206336"/>
        <c:crosses val="autoZero"/>
        <c:crossBetween val="between"/>
        <c:majorUnit val="0.25"/>
        <c:minorUnit val="1.0000000000000002E-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Maryland</a:t>
            </a:r>
            <a:r>
              <a:rPr lang="en-US" baseline="0"/>
              <a:t> 8 hour Ozone Exceeding Days</a:t>
            </a:r>
            <a:endParaRPr lang="en-US"/>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CostAirPollu!$C$2:$BD$2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CostAirPollu!$C$4:$BD$4</c:f>
              <c:numCache>
                <c:formatCode>General</c:formatCode>
                <c:ptCount val="54"/>
                <c:pt idx="0">
                  <c:v>71.567873588511176</c:v>
                </c:pt>
                <c:pt idx="1">
                  <c:v>73.285502554635443</c:v>
                </c:pt>
                <c:pt idx="2">
                  <c:v>75.044354615946702</c:v>
                </c:pt>
                <c:pt idx="3">
                  <c:v>76.845419126729425</c:v>
                </c:pt>
                <c:pt idx="4">
                  <c:v>78.689709185770937</c:v>
                </c:pt>
                <c:pt idx="5">
                  <c:v>80.578262206229439</c:v>
                </c:pt>
                <c:pt idx="6">
                  <c:v>82.512140499178955</c:v>
                </c:pt>
                <c:pt idx="7">
                  <c:v>84.492431871159255</c:v>
                </c:pt>
                <c:pt idx="8">
                  <c:v>86.520250236067085</c:v>
                </c:pt>
                <c:pt idx="9">
                  <c:v>88.5967362417327</c:v>
                </c:pt>
                <c:pt idx="10">
                  <c:v>90.723057911534283</c:v>
                </c:pt>
                <c:pt idx="11">
                  <c:v>88.001366174188249</c:v>
                </c:pt>
                <c:pt idx="12">
                  <c:v>85.361325188962596</c:v>
                </c:pt>
                <c:pt idx="13">
                  <c:v>82.800485433293716</c:v>
                </c:pt>
                <c:pt idx="14">
                  <c:v>80.316470870294907</c:v>
                </c:pt>
                <c:pt idx="15">
                  <c:v>77.906976744186053</c:v>
                </c:pt>
                <c:pt idx="16">
                  <c:v>75.72558139534884</c:v>
                </c:pt>
                <c:pt idx="17">
                  <c:v>73.544186046511626</c:v>
                </c:pt>
                <c:pt idx="18">
                  <c:v>71.362790697674413</c:v>
                </c:pt>
                <c:pt idx="19">
                  <c:v>69.181395348837199</c:v>
                </c:pt>
                <c:pt idx="20">
                  <c:v>67</c:v>
                </c:pt>
                <c:pt idx="21">
                  <c:v>46</c:v>
                </c:pt>
                <c:pt idx="22">
                  <c:v>46</c:v>
                </c:pt>
                <c:pt idx="23">
                  <c:v>67</c:v>
                </c:pt>
                <c:pt idx="24">
                  <c:v>41</c:v>
                </c:pt>
                <c:pt idx="25">
                  <c:v>54</c:v>
                </c:pt>
                <c:pt idx="26">
                  <c:v>52</c:v>
                </c:pt>
                <c:pt idx="27">
                  <c:v>55</c:v>
                </c:pt>
                <c:pt idx="28">
                  <c:v>59</c:v>
                </c:pt>
                <c:pt idx="29">
                  <c:v>39</c:v>
                </c:pt>
                <c:pt idx="30">
                  <c:v>33</c:v>
                </c:pt>
                <c:pt idx="31">
                  <c:v>54</c:v>
                </c:pt>
                <c:pt idx="32">
                  <c:v>25</c:v>
                </c:pt>
                <c:pt idx="33">
                  <c:v>55</c:v>
                </c:pt>
                <c:pt idx="34">
                  <c:v>43</c:v>
                </c:pt>
                <c:pt idx="35">
                  <c:v>42</c:v>
                </c:pt>
                <c:pt idx="36">
                  <c:v>33</c:v>
                </c:pt>
                <c:pt idx="37">
                  <c:v>35</c:v>
                </c:pt>
                <c:pt idx="38">
                  <c:v>54</c:v>
                </c:pt>
                <c:pt idx="39">
                  <c:v>45</c:v>
                </c:pt>
                <c:pt idx="40">
                  <c:v>20</c:v>
                </c:pt>
                <c:pt idx="41">
                  <c:v>29</c:v>
                </c:pt>
                <c:pt idx="42">
                  <c:v>41</c:v>
                </c:pt>
                <c:pt idx="43">
                  <c:v>12</c:v>
                </c:pt>
                <c:pt idx="44">
                  <c:v>10</c:v>
                </c:pt>
                <c:pt idx="45">
                  <c:v>28</c:v>
                </c:pt>
                <c:pt idx="46">
                  <c:v>20</c:v>
                </c:pt>
                <c:pt idx="47">
                  <c:v>25</c:v>
                </c:pt>
                <c:pt idx="48">
                  <c:v>31</c:v>
                </c:pt>
                <c:pt idx="49">
                  <c:v>11</c:v>
                </c:pt>
                <c:pt idx="50">
                  <c:v>43</c:v>
                </c:pt>
                <c:pt idx="51">
                  <c:v>27</c:v>
                </c:pt>
                <c:pt idx="52">
                  <c:v>30</c:v>
                </c:pt>
                <c:pt idx="53">
                  <c:v>9</c:v>
                </c:pt>
              </c:numCache>
            </c:numRef>
          </c:val>
          <c:smooth val="0"/>
        </c:ser>
        <c:dLbls>
          <c:showLegendKey val="0"/>
          <c:showVal val="0"/>
          <c:showCatName val="0"/>
          <c:showSerName val="0"/>
          <c:showPercent val="0"/>
          <c:showBubbleSize val="0"/>
        </c:dLbls>
        <c:marker val="1"/>
        <c:smooth val="0"/>
        <c:axId val="194243968"/>
        <c:axId val="194651648"/>
      </c:lineChart>
      <c:catAx>
        <c:axId val="19424396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4651648"/>
        <c:crosses val="autoZero"/>
        <c:auto val="1"/>
        <c:lblAlgn val="ctr"/>
        <c:lblOffset val="100"/>
        <c:tickLblSkip val="3"/>
        <c:noMultiLvlLbl val="0"/>
      </c:catAx>
      <c:valAx>
        <c:axId val="194651648"/>
        <c:scaling>
          <c:orientation val="minMax"/>
        </c:scaling>
        <c:delete val="0"/>
        <c:axPos val="l"/>
        <c:majorGridlines/>
        <c:title>
          <c:tx>
            <c:rich>
              <a:bodyPr/>
              <a:lstStyle/>
              <a:p>
                <a:pPr>
                  <a:defRPr/>
                </a:pPr>
                <a:r>
                  <a:rPr lang="en-US"/>
                  <a:t>Days/year</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4243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 Noise Pollution</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val>
            <c:numRef>
              <c:f>CostNoisePollu!$C$3:$BD$3</c:f>
              <c:numCache>
                <c:formatCode>0.000000</c:formatCode>
                <c:ptCount val="54"/>
                <c:pt idx="0">
                  <c:v>0.18450620548053806</c:v>
                </c:pt>
                <c:pt idx="1">
                  <c:v>0.19266502514801154</c:v>
                </c:pt>
                <c:pt idx="2">
                  <c:v>0.20104736845453375</c:v>
                </c:pt>
                <c:pt idx="3">
                  <c:v>0.20966191321632513</c:v>
                </c:pt>
                <c:pt idx="4">
                  <c:v>0.21851749122983749</c:v>
                </c:pt>
                <c:pt idx="5">
                  <c:v>0.22762310223940002</c:v>
                </c:pt>
                <c:pt idx="6">
                  <c:v>0.23698792740909203</c:v>
                </c:pt>
                <c:pt idx="7">
                  <c:v>0.2466213423895911</c:v>
                </c:pt>
                <c:pt idx="8">
                  <c:v>0.25653293005972511</c:v>
                </c:pt>
                <c:pt idx="9">
                  <c:v>0.26673249301309282</c:v>
                </c:pt>
                <c:pt idx="10">
                  <c:v>0.27723006585215199</c:v>
                </c:pt>
                <c:pt idx="11">
                  <c:v>0.28579499518243617</c:v>
                </c:pt>
                <c:pt idx="12">
                  <c:v>0.29461838867221996</c:v>
                </c:pt>
                <c:pt idx="13">
                  <c:v>0.29781083361139349</c:v>
                </c:pt>
                <c:pt idx="14">
                  <c:v>0.30103202821717046</c:v>
                </c:pt>
                <c:pt idx="15">
                  <c:v>0.30428236327161357</c:v>
                </c:pt>
                <c:pt idx="16">
                  <c:v>0.30756222919272352</c:v>
                </c:pt>
                <c:pt idx="17">
                  <c:v>0.31087201625707594</c:v>
                </c:pt>
                <c:pt idx="18">
                  <c:v>0.31421211481032746</c:v>
                </c:pt>
                <c:pt idx="19">
                  <c:v>0.31758291546652728</c:v>
                </c:pt>
                <c:pt idx="20">
                  <c:v>0.32098480929709444</c:v>
                </c:pt>
                <c:pt idx="21">
                  <c:v>0.32509751255163372</c:v>
                </c:pt>
                <c:pt idx="22">
                  <c:v>0.32923904505447121</c:v>
                </c:pt>
                <c:pt idx="23">
                  <c:v>0.33341010574694391</c:v>
                </c:pt>
                <c:pt idx="24">
                  <c:v>0.33761138299323479</c:v>
                </c:pt>
                <c:pt idx="25">
                  <c:v>0.3418435554343493</c:v>
                </c:pt>
                <c:pt idx="26">
                  <c:v>0.34610729278783781</c:v>
                </c:pt>
                <c:pt idx="27">
                  <c:v>0.35040325659749205</c:v>
                </c:pt>
                <c:pt idx="28">
                  <c:v>0.35473210093687707</c:v>
                </c:pt>
                <c:pt idx="29">
                  <c:v>0.35909447307022446</c:v>
                </c:pt>
                <c:pt idx="30">
                  <c:v>0.36349101407391371</c:v>
                </c:pt>
                <c:pt idx="31">
                  <c:v>0.36654003802772023</c:v>
                </c:pt>
                <c:pt idx="32">
                  <c:v>0.36963521989178222</c:v>
                </c:pt>
                <c:pt idx="33">
                  <c:v>0.37277622799454946</c:v>
                </c:pt>
                <c:pt idx="34">
                  <c:v>0.37596278088122798</c:v>
                </c:pt>
                <c:pt idx="35">
                  <c:v>0.37919464330566982</c:v>
                </c:pt>
                <c:pt idx="36">
                  <c:v>0.38247162263375722</c:v>
                </c:pt>
                <c:pt idx="37">
                  <c:v>0.38579356561029993</c:v>
                </c:pt>
                <c:pt idx="38">
                  <c:v>0.38916035544775546</c:v>
                </c:pt>
                <c:pt idx="39">
                  <c:v>0.39257190920046919</c:v>
                </c:pt>
                <c:pt idx="40">
                  <c:v>0.39602817539274021</c:v>
                </c:pt>
                <c:pt idx="41">
                  <c:v>0.39952913187297967</c:v>
                </c:pt>
                <c:pt idx="42">
                  <c:v>0.40307478386965329</c:v>
                </c:pt>
                <c:pt idx="43">
                  <c:v>0.40666516222763238</c:v>
                </c:pt>
                <c:pt idx="44">
                  <c:v>0.41030032180614601</c:v>
                </c:pt>
                <c:pt idx="45">
                  <c:v>0.41398034002173212</c:v>
                </c:pt>
                <c:pt idx="46">
                  <c:v>0.41770531552151258</c:v>
                </c:pt>
                <c:pt idx="47">
                  <c:v>0.42147536697379917</c:v>
                </c:pt>
                <c:pt idx="48">
                  <c:v>0.42529063196449701</c:v>
                </c:pt>
                <c:pt idx="49">
                  <c:v>0.4291512659890579</c:v>
                </c:pt>
                <c:pt idx="50">
                  <c:v>0.4330574415308594</c:v>
                </c:pt>
                <c:pt idx="51">
                  <c:v>0.43700934721787099</c:v>
                </c:pt>
                <c:pt idx="52">
                  <c:v>0.44100718705033892</c:v>
                </c:pt>
                <c:pt idx="53">
                  <c:v>0.44505117969298696</c:v>
                </c:pt>
              </c:numCache>
            </c:numRef>
          </c:val>
          <c:smooth val="0"/>
        </c:ser>
        <c:dLbls>
          <c:showLegendKey val="0"/>
          <c:showVal val="0"/>
          <c:showCatName val="0"/>
          <c:showSerName val="0"/>
          <c:showPercent val="0"/>
          <c:showBubbleSize val="0"/>
        </c:dLbls>
        <c:marker val="1"/>
        <c:smooth val="0"/>
        <c:axId val="194728704"/>
        <c:axId val="194730624"/>
      </c:lineChart>
      <c:catAx>
        <c:axId val="1947287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4730624"/>
        <c:crosses val="autoZero"/>
        <c:auto val="1"/>
        <c:lblAlgn val="ctr"/>
        <c:lblOffset val="100"/>
        <c:tickLblSkip val="3"/>
        <c:noMultiLvlLbl val="0"/>
      </c:catAx>
      <c:valAx>
        <c:axId val="194730624"/>
        <c:scaling>
          <c:orientation val="minMax"/>
          <c:max val="0.5"/>
          <c:min val="0"/>
        </c:scaling>
        <c:delete val="0"/>
        <c:axPos val="l"/>
        <c:majorGridlines/>
        <c:title>
          <c:tx>
            <c:rich>
              <a:bodyPr/>
              <a:lstStyle/>
              <a:p>
                <a:pPr>
                  <a:defRPr/>
                </a:pPr>
                <a:r>
                  <a:rPr lang="en-US"/>
                  <a:t>Billion $</a:t>
                </a:r>
              </a:p>
            </c:rich>
          </c:tx>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4728704"/>
        <c:crosses val="autoZero"/>
        <c:crossBetween val="between"/>
        <c:majorUnit val="5.000000000000001E-2"/>
        <c:minorUnit val="1.0000000000000002E-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National Damage Estimates</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CostNoisePollu!$C$2:$BD$2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CostNoisePollu!$C$4:$BD$4</c:f>
              <c:numCache>
                <c:formatCode>#,##0.000</c:formatCode>
                <c:ptCount val="54"/>
                <c:pt idx="0">
                  <c:v>10.254173848421262</c:v>
                </c:pt>
                <c:pt idx="1">
                  <c:v>10.561799063873901</c:v>
                </c:pt>
                <c:pt idx="2">
                  <c:v>10.878653035790117</c:v>
                </c:pt>
                <c:pt idx="3">
                  <c:v>11.205012626863821</c:v>
                </c:pt>
                <c:pt idx="4">
                  <c:v>11.541163005669736</c:v>
                </c:pt>
                <c:pt idx="5">
                  <c:v>11.887397895839829</c:v>
                </c:pt>
                <c:pt idx="6">
                  <c:v>12.244019832715024</c:v>
                </c:pt>
                <c:pt idx="7">
                  <c:v>12.611340427696474</c:v>
                </c:pt>
                <c:pt idx="8">
                  <c:v>12.989680640527368</c:v>
                </c:pt>
                <c:pt idx="9">
                  <c:v>13.379371059743189</c:v>
                </c:pt>
                <c:pt idx="10">
                  <c:v>13.780752191535486</c:v>
                </c:pt>
                <c:pt idx="11">
                  <c:v>14.194174757281552</c:v>
                </c:pt>
                <c:pt idx="12">
                  <c:v>14.62</c:v>
                </c:pt>
                <c:pt idx="13">
                  <c:v>14.7662</c:v>
                </c:pt>
                <c:pt idx="14">
                  <c:v>14.913862</c:v>
                </c:pt>
                <c:pt idx="15">
                  <c:v>15.06300062</c:v>
                </c:pt>
                <c:pt idx="16">
                  <c:v>15.213630626200001</c:v>
                </c:pt>
                <c:pt idx="17">
                  <c:v>15.365766932462</c:v>
                </c:pt>
                <c:pt idx="18">
                  <c:v>15.51942460178662</c:v>
                </c:pt>
                <c:pt idx="19">
                  <c:v>15.674618847804485</c:v>
                </c:pt>
                <c:pt idx="20">
                  <c:v>15.831365036282531</c:v>
                </c:pt>
                <c:pt idx="21">
                  <c:v>15.989678686645355</c:v>
                </c:pt>
                <c:pt idx="22">
                  <c:v>16.14957547351181</c:v>
                </c:pt>
                <c:pt idx="23">
                  <c:v>16.311071228246927</c:v>
                </c:pt>
                <c:pt idx="24">
                  <c:v>16.474181940529398</c:v>
                </c:pt>
                <c:pt idx="25">
                  <c:v>16.638923759934691</c:v>
                </c:pt>
                <c:pt idx="26">
                  <c:v>16.805312997534038</c:v>
                </c:pt>
                <c:pt idx="27">
                  <c:v>16.973366127509379</c:v>
                </c:pt>
                <c:pt idx="28">
                  <c:v>17.143099788784472</c:v>
                </c:pt>
                <c:pt idx="29">
                  <c:v>17.314530786672318</c:v>
                </c:pt>
                <c:pt idx="30">
                  <c:v>17.48767609453904</c:v>
                </c:pt>
                <c:pt idx="31">
                  <c:v>17.662552855484432</c:v>
                </c:pt>
                <c:pt idx="32">
                  <c:v>17.839178384039275</c:v>
                </c:pt>
                <c:pt idx="33">
                  <c:v>18.017570167879668</c:v>
                </c:pt>
                <c:pt idx="34">
                  <c:v>18.197745869558464</c:v>
                </c:pt>
                <c:pt idx="35">
                  <c:v>18.379723328254048</c:v>
                </c:pt>
                <c:pt idx="36">
                  <c:v>18.563520561536588</c:v>
                </c:pt>
                <c:pt idx="37">
                  <c:v>18.749155767151954</c:v>
                </c:pt>
                <c:pt idx="38">
                  <c:v>18.936647324823475</c:v>
                </c:pt>
                <c:pt idx="39">
                  <c:v>19.12601379807171</c:v>
                </c:pt>
                <c:pt idx="40">
                  <c:v>19.317273936052427</c:v>
                </c:pt>
                <c:pt idx="41">
                  <c:v>19.51044667541295</c:v>
                </c:pt>
                <c:pt idx="42">
                  <c:v>19.705551142167081</c:v>
                </c:pt>
                <c:pt idx="43">
                  <c:v>19.902606653588752</c:v>
                </c:pt>
                <c:pt idx="44">
                  <c:v>20.101632720124638</c:v>
                </c:pt>
                <c:pt idx="45">
                  <c:v>20.302649047325882</c:v>
                </c:pt>
                <c:pt idx="46">
                  <c:v>20.505675537799142</c:v>
                </c:pt>
                <c:pt idx="47">
                  <c:v>20.710732293177134</c:v>
                </c:pt>
                <c:pt idx="48">
                  <c:v>20.917839616108907</c:v>
                </c:pt>
                <c:pt idx="49">
                  <c:v>21.127018012269996</c:v>
                </c:pt>
                <c:pt idx="50">
                  <c:v>21.338288192392696</c:v>
                </c:pt>
                <c:pt idx="51">
                  <c:v>21.551671074316623</c:v>
                </c:pt>
                <c:pt idx="52">
                  <c:v>21.767187785059789</c:v>
                </c:pt>
                <c:pt idx="53">
                  <c:v>21.984859662910388</c:v>
                </c:pt>
              </c:numCache>
            </c:numRef>
          </c:val>
          <c:smooth val="0"/>
        </c:ser>
        <c:dLbls>
          <c:showLegendKey val="0"/>
          <c:showVal val="0"/>
          <c:showCatName val="0"/>
          <c:showSerName val="0"/>
          <c:showPercent val="0"/>
          <c:showBubbleSize val="0"/>
        </c:dLbls>
        <c:marker val="1"/>
        <c:smooth val="0"/>
        <c:axId val="194766336"/>
        <c:axId val="194768256"/>
      </c:lineChart>
      <c:catAx>
        <c:axId val="1947663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4768256"/>
        <c:crosses val="autoZero"/>
        <c:auto val="1"/>
        <c:lblAlgn val="ctr"/>
        <c:lblOffset val="100"/>
        <c:tickLblSkip val="3"/>
        <c:noMultiLvlLbl val="0"/>
      </c:catAx>
      <c:valAx>
        <c:axId val="194768256"/>
        <c:scaling>
          <c:orientation val="minMax"/>
        </c:scaling>
        <c:delete val="0"/>
        <c:axPos val="l"/>
        <c:majorGridlines/>
        <c:title>
          <c:tx>
            <c:rich>
              <a:bodyPr/>
              <a:lstStyle/>
              <a:p>
                <a:pPr>
                  <a:defRPr/>
                </a:pPr>
                <a:r>
                  <a:rPr lang="en-US"/>
                  <a:t>Billion $</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4766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 Net Wetland</a:t>
            </a:r>
            <a:r>
              <a:rPr lang="en-US" baseline="0"/>
              <a:t> Change</a:t>
            </a:r>
            <a:endParaRPr lang="en-US"/>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CostWetlandChange!$C$2:$BD$2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CostWetlandChange!$C$3:$BD$3</c:f>
              <c:numCache>
                <c:formatCode>General</c:formatCode>
                <c:ptCount val="54"/>
                <c:pt idx="0">
                  <c:v>0.1800037995324828</c:v>
                </c:pt>
                <c:pt idx="1">
                  <c:v>0.18240887552313248</c:v>
                </c:pt>
                <c:pt idx="2">
                  <c:v>0.18486205303359513</c:v>
                </c:pt>
                <c:pt idx="3">
                  <c:v>0.187364294094267</c:v>
                </c:pt>
                <c:pt idx="4">
                  <c:v>0.18991657997615236</c:v>
                </c:pt>
                <c:pt idx="5">
                  <c:v>0.19251991157567538</c:v>
                </c:pt>
                <c:pt idx="6">
                  <c:v>0.19517530980718889</c:v>
                </c:pt>
                <c:pt idx="7">
                  <c:v>0.19788381600333269</c:v>
                </c:pt>
                <c:pt idx="8">
                  <c:v>0.20064649232339934</c:v>
                </c:pt>
                <c:pt idx="9">
                  <c:v>0.20346442216986735</c:v>
                </c:pt>
                <c:pt idx="10">
                  <c:v>0.20633871061326467</c:v>
                </c:pt>
                <c:pt idx="11">
                  <c:v>0.20927048482552996</c:v>
                </c:pt>
                <c:pt idx="12">
                  <c:v>0.21226089452204058</c:v>
                </c:pt>
                <c:pt idx="13">
                  <c:v>0.21531111241248141</c:v>
                </c:pt>
                <c:pt idx="14">
                  <c:v>0.21842233466073102</c:v>
                </c:pt>
                <c:pt idx="15">
                  <c:v>0.22159578135394564</c:v>
                </c:pt>
                <c:pt idx="16">
                  <c:v>0.22483269698102457</c:v>
                </c:pt>
                <c:pt idx="17">
                  <c:v>0.22813435092064505</c:v>
                </c:pt>
                <c:pt idx="18">
                  <c:v>0.23150203793905794</c:v>
                </c:pt>
                <c:pt idx="19">
                  <c:v>0.23493707869783911</c:v>
                </c:pt>
                <c:pt idx="20">
                  <c:v>0.23844082027179589</c:v>
                </c:pt>
                <c:pt idx="21">
                  <c:v>0.24201463667723183</c:v>
                </c:pt>
                <c:pt idx="22">
                  <c:v>0.24565992941077647</c:v>
                </c:pt>
                <c:pt idx="23">
                  <c:v>0.24937812799899201</c:v>
                </c:pt>
                <c:pt idx="24">
                  <c:v>0.25317069055897184</c:v>
                </c:pt>
                <c:pt idx="25">
                  <c:v>0.25703910437015126</c:v>
                </c:pt>
                <c:pt idx="26">
                  <c:v>0.2609848864575543</c:v>
                </c:pt>
                <c:pt idx="27">
                  <c:v>0.26500958418670539</c:v>
                </c:pt>
                <c:pt idx="28">
                  <c:v>0.26911477587043947</c:v>
                </c:pt>
                <c:pt idx="29">
                  <c:v>0.27330207138784823</c:v>
                </c:pt>
                <c:pt idx="30">
                  <c:v>0.28953202881332474</c:v>
                </c:pt>
                <c:pt idx="31">
                  <c:v>0.29017678522725893</c:v>
                </c:pt>
                <c:pt idx="32">
                  <c:v>0.29081221881196462</c:v>
                </c:pt>
                <c:pt idx="33">
                  <c:v>0.29128812746176869</c:v>
                </c:pt>
                <c:pt idx="34">
                  <c:v>0.2917874236223631</c:v>
                </c:pt>
                <c:pt idx="35">
                  <c:v>0.29231085243071958</c:v>
                </c:pt>
                <c:pt idx="36">
                  <c:v>0.29281108061081373</c:v>
                </c:pt>
                <c:pt idx="37">
                  <c:v>0.2934635897926558</c:v>
                </c:pt>
                <c:pt idx="38">
                  <c:v>0.29118167196815659</c:v>
                </c:pt>
                <c:pt idx="39">
                  <c:v>0.28714417868051956</c:v>
                </c:pt>
                <c:pt idx="40">
                  <c:v>0.28576969550416703</c:v>
                </c:pt>
                <c:pt idx="41">
                  <c:v>0.27916874004973374</c:v>
                </c:pt>
                <c:pt idx="42">
                  <c:v>0.25614770875852849</c:v>
                </c:pt>
                <c:pt idx="43">
                  <c:v>0.25341833528864322</c:v>
                </c:pt>
                <c:pt idx="44">
                  <c:v>0.25236448772660691</c:v>
                </c:pt>
                <c:pt idx="45">
                  <c:v>0.25011117003032574</c:v>
                </c:pt>
                <c:pt idx="46">
                  <c:v>0.24785969177706191</c:v>
                </c:pt>
                <c:pt idx="47">
                  <c:v>0.24433718369113522</c:v>
                </c:pt>
                <c:pt idx="48">
                  <c:v>0.24361127192293525</c:v>
                </c:pt>
                <c:pt idx="49">
                  <c:v>0.24215530031928856</c:v>
                </c:pt>
                <c:pt idx="50">
                  <c:v>0.24167918516069431</c:v>
                </c:pt>
                <c:pt idx="51">
                  <c:v>0.24173744642440331</c:v>
                </c:pt>
                <c:pt idx="52">
                  <c:v>0.24184969645914933</c:v>
                </c:pt>
                <c:pt idx="53">
                  <c:v>0.24102768945470426</c:v>
                </c:pt>
              </c:numCache>
            </c:numRef>
          </c:val>
          <c:smooth val="0"/>
        </c:ser>
        <c:dLbls>
          <c:showLegendKey val="0"/>
          <c:showVal val="0"/>
          <c:showCatName val="0"/>
          <c:showSerName val="0"/>
          <c:showPercent val="0"/>
          <c:showBubbleSize val="0"/>
        </c:dLbls>
        <c:marker val="1"/>
        <c:smooth val="0"/>
        <c:axId val="195279488"/>
        <c:axId val="195281664"/>
      </c:lineChart>
      <c:catAx>
        <c:axId val="19527948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5281664"/>
        <c:crosses val="autoZero"/>
        <c:auto val="1"/>
        <c:lblAlgn val="ctr"/>
        <c:lblOffset val="100"/>
        <c:tickLblSkip val="3"/>
        <c:noMultiLvlLbl val="0"/>
      </c:catAx>
      <c:valAx>
        <c:axId val="195281664"/>
        <c:scaling>
          <c:orientation val="minMax"/>
          <c:max val="0.5"/>
          <c:min val="0"/>
        </c:scaling>
        <c:delete val="0"/>
        <c:axPos val="l"/>
        <c:majorGridlines/>
        <c:title>
          <c:tx>
            <c:rich>
              <a:bodyPr/>
              <a:lstStyle/>
              <a:p>
                <a:pPr>
                  <a:defRPr/>
                </a:pPr>
                <a:r>
                  <a:rPr lang="en-US"/>
                  <a:t>Billion $</a:t>
                </a:r>
              </a:p>
            </c:rich>
          </c:tx>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5279488"/>
        <c:crosses val="autoZero"/>
        <c:crossBetween val="between"/>
        <c:majorUnit val="5.000000000000001E-2"/>
        <c:minorUnit val="1.0000000000000002E-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Wetland Area in Maryland</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CostWetlandChange!$C$2:$BD$2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CostWetlandChange!$C$4:$BD$4</c:f>
              <c:numCache>
                <c:formatCode>#,##0</c:formatCode>
                <c:ptCount val="54"/>
                <c:pt idx="0">
                  <c:v>790000</c:v>
                </c:pt>
                <c:pt idx="1">
                  <c:v>789000</c:v>
                </c:pt>
                <c:pt idx="2">
                  <c:v>788000</c:v>
                </c:pt>
                <c:pt idx="3">
                  <c:v>787000</c:v>
                </c:pt>
                <c:pt idx="4">
                  <c:v>786000</c:v>
                </c:pt>
                <c:pt idx="5">
                  <c:v>785000</c:v>
                </c:pt>
                <c:pt idx="6">
                  <c:v>784000</c:v>
                </c:pt>
                <c:pt idx="7">
                  <c:v>783000</c:v>
                </c:pt>
                <c:pt idx="8">
                  <c:v>782000</c:v>
                </c:pt>
                <c:pt idx="9">
                  <c:v>781000</c:v>
                </c:pt>
                <c:pt idx="10">
                  <c:v>780000</c:v>
                </c:pt>
                <c:pt idx="11">
                  <c:v>779000</c:v>
                </c:pt>
                <c:pt idx="12">
                  <c:v>778000</c:v>
                </c:pt>
                <c:pt idx="13">
                  <c:v>777000</c:v>
                </c:pt>
                <c:pt idx="14">
                  <c:v>776000</c:v>
                </c:pt>
                <c:pt idx="15">
                  <c:v>775000</c:v>
                </c:pt>
                <c:pt idx="16">
                  <c:v>774000</c:v>
                </c:pt>
                <c:pt idx="17">
                  <c:v>773000</c:v>
                </c:pt>
                <c:pt idx="18">
                  <c:v>772000</c:v>
                </c:pt>
                <c:pt idx="19">
                  <c:v>771000</c:v>
                </c:pt>
                <c:pt idx="20">
                  <c:v>770000</c:v>
                </c:pt>
                <c:pt idx="21">
                  <c:v>769000</c:v>
                </c:pt>
                <c:pt idx="22">
                  <c:v>768000</c:v>
                </c:pt>
                <c:pt idx="23">
                  <c:v>767000</c:v>
                </c:pt>
                <c:pt idx="24">
                  <c:v>766000</c:v>
                </c:pt>
                <c:pt idx="25">
                  <c:v>765000</c:v>
                </c:pt>
                <c:pt idx="26">
                  <c:v>764000</c:v>
                </c:pt>
                <c:pt idx="27">
                  <c:v>763000</c:v>
                </c:pt>
                <c:pt idx="28">
                  <c:v>762000</c:v>
                </c:pt>
                <c:pt idx="29">
                  <c:v>761000</c:v>
                </c:pt>
                <c:pt idx="30">
                  <c:v>757200</c:v>
                </c:pt>
                <c:pt idx="31">
                  <c:v>757052</c:v>
                </c:pt>
                <c:pt idx="32">
                  <c:v>756909</c:v>
                </c:pt>
                <c:pt idx="33">
                  <c:v>756804</c:v>
                </c:pt>
                <c:pt idx="34">
                  <c:v>756696</c:v>
                </c:pt>
                <c:pt idx="35">
                  <c:v>756585</c:v>
                </c:pt>
                <c:pt idx="36">
                  <c:v>756481</c:v>
                </c:pt>
                <c:pt idx="37">
                  <c:v>756348</c:v>
                </c:pt>
                <c:pt idx="38">
                  <c:v>756804</c:v>
                </c:pt>
                <c:pt idx="39">
                  <c:v>757595</c:v>
                </c:pt>
                <c:pt idx="40">
                  <c:v>757859</c:v>
                </c:pt>
                <c:pt idx="41">
                  <c:v>759102</c:v>
                </c:pt>
                <c:pt idx="42">
                  <c:v>763352</c:v>
                </c:pt>
                <c:pt idx="43">
                  <c:v>763846</c:v>
                </c:pt>
                <c:pt idx="44">
                  <c:v>764033</c:v>
                </c:pt>
                <c:pt idx="45">
                  <c:v>764425</c:v>
                </c:pt>
                <c:pt idx="46">
                  <c:v>764809</c:v>
                </c:pt>
                <c:pt idx="47">
                  <c:v>765398</c:v>
                </c:pt>
                <c:pt idx="48">
                  <c:v>765517</c:v>
                </c:pt>
                <c:pt idx="49">
                  <c:v>765750</c:v>
                </c:pt>
                <c:pt idx="50">
                  <c:v>765826</c:v>
                </c:pt>
                <c:pt idx="51">
                  <c:v>765817</c:v>
                </c:pt>
                <c:pt idx="52">
                  <c:v>765800</c:v>
                </c:pt>
                <c:pt idx="53">
                  <c:v>765922</c:v>
                </c:pt>
              </c:numCache>
            </c:numRef>
          </c:val>
          <c:smooth val="0"/>
        </c:ser>
        <c:dLbls>
          <c:showLegendKey val="0"/>
          <c:showVal val="0"/>
          <c:showCatName val="0"/>
          <c:showSerName val="0"/>
          <c:showPercent val="0"/>
          <c:showBubbleSize val="0"/>
        </c:dLbls>
        <c:marker val="1"/>
        <c:smooth val="0"/>
        <c:axId val="195292544"/>
        <c:axId val="195393024"/>
      </c:lineChart>
      <c:catAx>
        <c:axId val="19529254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5393024"/>
        <c:crosses val="autoZero"/>
        <c:auto val="1"/>
        <c:lblAlgn val="ctr"/>
        <c:lblOffset val="100"/>
        <c:tickLblSkip val="3"/>
        <c:noMultiLvlLbl val="0"/>
      </c:catAx>
      <c:valAx>
        <c:axId val="195393024"/>
        <c:scaling>
          <c:orientation val="minMax"/>
        </c:scaling>
        <c:delete val="0"/>
        <c:axPos val="l"/>
        <c:majorGridlines/>
        <c:title>
          <c:tx>
            <c:rich>
              <a:bodyPr/>
              <a:lstStyle/>
              <a:p>
                <a:pPr>
                  <a:defRPr/>
                </a:pPr>
                <a:r>
                  <a:rPr lang="en-US"/>
                  <a:t>acres</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52925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Area</a:t>
            </a:r>
            <a:r>
              <a:rPr lang="en-US" baseline="0"/>
              <a:t> Lost</a:t>
            </a:r>
            <a:endParaRPr lang="en-US"/>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CostWetlandChange!$C$2:$BD$2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CostWetlandChange!$C$5:$BD$5</c:f>
              <c:numCache>
                <c:formatCode>General</c:formatCode>
                <c:ptCount val="54"/>
                <c:pt idx="0">
                  <c:v>1000</c:v>
                </c:pt>
                <c:pt idx="1">
                  <c:v>1000</c:v>
                </c:pt>
                <c:pt idx="2">
                  <c:v>1000</c:v>
                </c:pt>
                <c:pt idx="3">
                  <c:v>1000</c:v>
                </c:pt>
                <c:pt idx="4">
                  <c:v>1000</c:v>
                </c:pt>
                <c:pt idx="5">
                  <c:v>1000</c:v>
                </c:pt>
                <c:pt idx="6">
                  <c:v>1000</c:v>
                </c:pt>
                <c:pt idx="7">
                  <c:v>1000</c:v>
                </c:pt>
                <c:pt idx="8">
                  <c:v>1000</c:v>
                </c:pt>
                <c:pt idx="9">
                  <c:v>1000</c:v>
                </c:pt>
                <c:pt idx="10">
                  <c:v>1000</c:v>
                </c:pt>
                <c:pt idx="11">
                  <c:v>1000</c:v>
                </c:pt>
                <c:pt idx="12">
                  <c:v>1000</c:v>
                </c:pt>
                <c:pt idx="13">
                  <c:v>1000</c:v>
                </c:pt>
                <c:pt idx="14">
                  <c:v>1000</c:v>
                </c:pt>
                <c:pt idx="15">
                  <c:v>1000</c:v>
                </c:pt>
                <c:pt idx="16">
                  <c:v>1000</c:v>
                </c:pt>
                <c:pt idx="17">
                  <c:v>1000</c:v>
                </c:pt>
                <c:pt idx="18">
                  <c:v>1000</c:v>
                </c:pt>
                <c:pt idx="19">
                  <c:v>1000</c:v>
                </c:pt>
                <c:pt idx="20">
                  <c:v>1000</c:v>
                </c:pt>
                <c:pt idx="21">
                  <c:v>1000</c:v>
                </c:pt>
                <c:pt idx="22">
                  <c:v>1000</c:v>
                </c:pt>
                <c:pt idx="23">
                  <c:v>1000</c:v>
                </c:pt>
                <c:pt idx="24">
                  <c:v>1000</c:v>
                </c:pt>
                <c:pt idx="25">
                  <c:v>1000</c:v>
                </c:pt>
                <c:pt idx="26">
                  <c:v>1000</c:v>
                </c:pt>
                <c:pt idx="27">
                  <c:v>1000</c:v>
                </c:pt>
                <c:pt idx="28">
                  <c:v>1000</c:v>
                </c:pt>
                <c:pt idx="29">
                  <c:v>1000</c:v>
                </c:pt>
                <c:pt idx="30">
                  <c:v>3800</c:v>
                </c:pt>
                <c:pt idx="31">
                  <c:v>148</c:v>
                </c:pt>
                <c:pt idx="32">
                  <c:v>143</c:v>
                </c:pt>
                <c:pt idx="33">
                  <c:v>105</c:v>
                </c:pt>
                <c:pt idx="34">
                  <c:v>108</c:v>
                </c:pt>
                <c:pt idx="35">
                  <c:v>111</c:v>
                </c:pt>
                <c:pt idx="36">
                  <c:v>104</c:v>
                </c:pt>
                <c:pt idx="37">
                  <c:v>133</c:v>
                </c:pt>
                <c:pt idx="38">
                  <c:v>-456</c:v>
                </c:pt>
                <c:pt idx="39">
                  <c:v>-791</c:v>
                </c:pt>
                <c:pt idx="40">
                  <c:v>-264</c:v>
                </c:pt>
                <c:pt idx="41">
                  <c:v>-1243</c:v>
                </c:pt>
                <c:pt idx="42">
                  <c:v>-4250</c:v>
                </c:pt>
                <c:pt idx="43">
                  <c:v>-494</c:v>
                </c:pt>
                <c:pt idx="44">
                  <c:v>-187</c:v>
                </c:pt>
                <c:pt idx="45">
                  <c:v>-392</c:v>
                </c:pt>
                <c:pt idx="46">
                  <c:v>-384</c:v>
                </c:pt>
                <c:pt idx="47">
                  <c:v>-589</c:v>
                </c:pt>
                <c:pt idx="48">
                  <c:v>-119</c:v>
                </c:pt>
                <c:pt idx="49">
                  <c:v>-234</c:v>
                </c:pt>
                <c:pt idx="50">
                  <c:v>-76</c:v>
                </c:pt>
                <c:pt idx="51">
                  <c:v>9</c:v>
                </c:pt>
                <c:pt idx="52">
                  <c:v>17</c:v>
                </c:pt>
                <c:pt idx="53">
                  <c:v>-122.05</c:v>
                </c:pt>
              </c:numCache>
            </c:numRef>
          </c:val>
          <c:smooth val="0"/>
        </c:ser>
        <c:dLbls>
          <c:showLegendKey val="0"/>
          <c:showVal val="0"/>
          <c:showCatName val="0"/>
          <c:showSerName val="0"/>
          <c:showPercent val="0"/>
          <c:showBubbleSize val="0"/>
        </c:dLbls>
        <c:marker val="1"/>
        <c:smooth val="0"/>
        <c:axId val="195416448"/>
        <c:axId val="195418368"/>
      </c:lineChart>
      <c:catAx>
        <c:axId val="1954164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95418368"/>
        <c:crosses val="autoZero"/>
        <c:auto val="1"/>
        <c:lblAlgn val="ctr"/>
        <c:lblOffset val="100"/>
        <c:tickLblSkip val="3"/>
        <c:noMultiLvlLbl val="0"/>
      </c:catAx>
      <c:valAx>
        <c:axId val="195418368"/>
        <c:scaling>
          <c:orientation val="minMax"/>
        </c:scaling>
        <c:delete val="0"/>
        <c:axPos val="l"/>
        <c:majorGridlines/>
        <c:title>
          <c:tx>
            <c:rich>
              <a:bodyPr/>
              <a:lstStyle/>
              <a:p>
                <a:pPr>
                  <a:defRPr/>
                </a:pPr>
                <a:r>
                  <a:rPr lang="en-US"/>
                  <a:t>acres/year</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5416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6" Type="http://schemas.openxmlformats.org/officeDocument/2006/relationships/chart" Target="../charts/chart28.xml"/><Relationship Id="rId5" Type="http://schemas.openxmlformats.org/officeDocument/2006/relationships/chart" Target="../charts/chart27.xml"/><Relationship Id="rId4" Type="http://schemas.openxmlformats.org/officeDocument/2006/relationships/chart" Target="../charts/chart26.xml"/></Relationships>
</file>

<file path=xl/drawings/drawing1.xml><?xml version="1.0" encoding="utf-8"?>
<xdr:wsDr xmlns:xdr="http://schemas.openxmlformats.org/drawingml/2006/spreadsheetDrawing" xmlns:a="http://schemas.openxmlformats.org/drawingml/2006/main">
  <xdr:twoCellAnchor>
    <xdr:from>
      <xdr:col>48</xdr:col>
      <xdr:colOff>257175</xdr:colOff>
      <xdr:row>17</xdr:row>
      <xdr:rowOff>68263</xdr:rowOff>
    </xdr:from>
    <xdr:to>
      <xdr:col>55</xdr:col>
      <xdr:colOff>409575</xdr:colOff>
      <xdr:row>31</xdr:row>
      <xdr:rowOff>593726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48</xdr:col>
      <xdr:colOff>244475</xdr:colOff>
      <xdr:row>31</xdr:row>
      <xdr:rowOff>768351</xdr:rowOff>
    </xdr:from>
    <xdr:to>
      <xdr:col>55</xdr:col>
      <xdr:colOff>454025</xdr:colOff>
      <xdr:row>31</xdr:row>
      <xdr:rowOff>3630613</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598488</xdr:colOff>
      <xdr:row>22</xdr:row>
      <xdr:rowOff>146050</xdr:rowOff>
    </xdr:from>
    <xdr:to>
      <xdr:col>14</xdr:col>
      <xdr:colOff>712788</xdr:colOff>
      <xdr:row>37</xdr:row>
      <xdr:rowOff>157163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617538</xdr:colOff>
      <xdr:row>38</xdr:row>
      <xdr:rowOff>77788</xdr:rowOff>
    </xdr:from>
    <xdr:to>
      <xdr:col>14</xdr:col>
      <xdr:colOff>706438</xdr:colOff>
      <xdr:row>38</xdr:row>
      <xdr:rowOff>3095625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52</xdr:col>
      <xdr:colOff>304800</xdr:colOff>
      <xdr:row>19</xdr:row>
      <xdr:rowOff>119063</xdr:rowOff>
    </xdr:from>
    <xdr:to>
      <xdr:col>57</xdr:col>
      <xdr:colOff>476250</xdr:colOff>
      <xdr:row>31</xdr:row>
      <xdr:rowOff>590551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52</xdr:col>
      <xdr:colOff>254000</xdr:colOff>
      <xdr:row>31</xdr:row>
      <xdr:rowOff>682626</xdr:rowOff>
    </xdr:from>
    <xdr:to>
      <xdr:col>57</xdr:col>
      <xdr:colOff>476250</xdr:colOff>
      <xdr:row>35</xdr:row>
      <xdr:rowOff>679450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48</xdr:col>
      <xdr:colOff>998537</xdr:colOff>
      <xdr:row>35</xdr:row>
      <xdr:rowOff>161925</xdr:rowOff>
    </xdr:from>
    <xdr:to>
      <xdr:col>55</xdr:col>
      <xdr:colOff>579437</xdr:colOff>
      <xdr:row>50</xdr:row>
      <xdr:rowOff>161925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49</xdr:col>
      <xdr:colOff>49212</xdr:colOff>
      <xdr:row>51</xdr:row>
      <xdr:rowOff>57150</xdr:rowOff>
    </xdr:from>
    <xdr:to>
      <xdr:col>55</xdr:col>
      <xdr:colOff>573087</xdr:colOff>
      <xdr:row>56</xdr:row>
      <xdr:rowOff>1654175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49</xdr:col>
      <xdr:colOff>49212</xdr:colOff>
      <xdr:row>56</xdr:row>
      <xdr:rowOff>1835150</xdr:rowOff>
    </xdr:from>
    <xdr:to>
      <xdr:col>55</xdr:col>
      <xdr:colOff>630237</xdr:colOff>
      <xdr:row>56</xdr:row>
      <xdr:rowOff>4772025</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50</xdr:col>
      <xdr:colOff>552450</xdr:colOff>
      <xdr:row>23</xdr:row>
      <xdr:rowOff>55034</xdr:rowOff>
    </xdr:from>
    <xdr:to>
      <xdr:col>56</xdr:col>
      <xdr:colOff>373945</xdr:colOff>
      <xdr:row>39</xdr:row>
      <xdr:rowOff>98073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50</xdr:col>
      <xdr:colOff>566561</xdr:colOff>
      <xdr:row>40</xdr:row>
      <xdr:rowOff>35278</xdr:rowOff>
    </xdr:from>
    <xdr:to>
      <xdr:col>56</xdr:col>
      <xdr:colOff>357011</xdr:colOff>
      <xdr:row>43</xdr:row>
      <xdr:rowOff>2235906</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50</xdr:col>
      <xdr:colOff>547511</xdr:colOff>
      <xdr:row>43</xdr:row>
      <xdr:rowOff>2341740</xdr:rowOff>
    </xdr:from>
    <xdr:to>
      <xdr:col>56</xdr:col>
      <xdr:colOff>376061</xdr:colOff>
      <xdr:row>44</xdr:row>
      <xdr:rowOff>14111</xdr:rowOff>
    </xdr:to>
    <xdr:graphicFrame macro="">
      <xdr:nvGraphicFramePr>
        <xdr:cNvPr id="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572911</xdr:colOff>
      <xdr:row>21</xdr:row>
      <xdr:rowOff>83255</xdr:rowOff>
    </xdr:from>
    <xdr:to>
      <xdr:col>11</xdr:col>
      <xdr:colOff>566560</xdr:colOff>
      <xdr:row>38</xdr:row>
      <xdr:rowOff>194734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572911</xdr:colOff>
      <xdr:row>38</xdr:row>
      <xdr:rowOff>334434</xdr:rowOff>
    </xdr:from>
    <xdr:to>
      <xdr:col>11</xdr:col>
      <xdr:colOff>598310</xdr:colOff>
      <xdr:row>38</xdr:row>
      <xdr:rowOff>3134078</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545393</xdr:colOff>
      <xdr:row>38</xdr:row>
      <xdr:rowOff>3246967</xdr:rowOff>
    </xdr:from>
    <xdr:to>
      <xdr:col>11</xdr:col>
      <xdr:colOff>558092</xdr:colOff>
      <xdr:row>42</xdr:row>
      <xdr:rowOff>726722</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1266825</xdr:colOff>
      <xdr:row>36</xdr:row>
      <xdr:rowOff>11112</xdr:rowOff>
    </xdr:from>
    <xdr:to>
      <xdr:col>10</xdr:col>
      <xdr:colOff>650875</xdr:colOff>
      <xdr:row>52</xdr:row>
      <xdr:rowOff>303212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1292225</xdr:colOff>
      <xdr:row>52</xdr:row>
      <xdr:rowOff>369887</xdr:rowOff>
    </xdr:from>
    <xdr:to>
      <xdr:col>10</xdr:col>
      <xdr:colOff>650875</xdr:colOff>
      <xdr:row>52</xdr:row>
      <xdr:rowOff>3646487</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1363663</xdr:colOff>
      <xdr:row>52</xdr:row>
      <xdr:rowOff>3759199</xdr:rowOff>
    </xdr:from>
    <xdr:to>
      <xdr:col>10</xdr:col>
      <xdr:colOff>795338</xdr:colOff>
      <xdr:row>59</xdr:row>
      <xdr:rowOff>785812</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1406525</xdr:colOff>
      <xdr:row>59</xdr:row>
      <xdr:rowOff>936626</xdr:rowOff>
    </xdr:from>
    <xdr:to>
      <xdr:col>10</xdr:col>
      <xdr:colOff>850900</xdr:colOff>
      <xdr:row>66</xdr:row>
      <xdr:rowOff>53975</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1317625</xdr:colOff>
      <xdr:row>66</xdr:row>
      <xdr:rowOff>174625</xdr:rowOff>
    </xdr:from>
    <xdr:to>
      <xdr:col>10</xdr:col>
      <xdr:colOff>911225</xdr:colOff>
      <xdr:row>83</xdr:row>
      <xdr:rowOff>165100</xdr:rowOff>
    </xdr:to>
    <xdr:graphicFrame macro="">
      <xdr:nvGraphicFramePr>
        <xdr:cNvPr id="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1365250</xdr:colOff>
      <xdr:row>84</xdr:row>
      <xdr:rowOff>114300</xdr:rowOff>
    </xdr:from>
    <xdr:to>
      <xdr:col>10</xdr:col>
      <xdr:colOff>1054100</xdr:colOff>
      <xdr:row>102</xdr:row>
      <xdr:rowOff>60325</xdr:rowOff>
    </xdr:to>
    <xdr:graphicFrame macro="">
      <xdr:nvGraphicFramePr>
        <xdr:cNvPr id="7"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53</xdr:col>
      <xdr:colOff>1033462</xdr:colOff>
      <xdr:row>20</xdr:row>
      <xdr:rowOff>44450</xdr:rowOff>
    </xdr:from>
    <xdr:to>
      <xdr:col>57</xdr:col>
      <xdr:colOff>1198562</xdr:colOff>
      <xdr:row>31</xdr:row>
      <xdr:rowOff>1273175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1466850</xdr:colOff>
      <xdr:row>40</xdr:row>
      <xdr:rowOff>90487</xdr:rowOff>
    </xdr:from>
    <xdr:to>
      <xdr:col>7</xdr:col>
      <xdr:colOff>860425</xdr:colOff>
      <xdr:row>57</xdr:row>
      <xdr:rowOff>125412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1479550</xdr:colOff>
      <xdr:row>58</xdr:row>
      <xdr:rowOff>33337</xdr:rowOff>
    </xdr:from>
    <xdr:to>
      <xdr:col>7</xdr:col>
      <xdr:colOff>828675</xdr:colOff>
      <xdr:row>68</xdr:row>
      <xdr:rowOff>1204912</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1479550</xdr:colOff>
      <xdr:row>68</xdr:row>
      <xdr:rowOff>1309687</xdr:rowOff>
    </xdr:from>
    <xdr:to>
      <xdr:col>7</xdr:col>
      <xdr:colOff>835025</xdr:colOff>
      <xdr:row>72</xdr:row>
      <xdr:rowOff>846137</xdr:rowOff>
    </xdr:to>
    <xdr:graphicFrame macro="">
      <xdr:nvGraphicFramePr>
        <xdr:cNvPr id="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1441450</xdr:colOff>
      <xdr:row>72</xdr:row>
      <xdr:rowOff>957262</xdr:rowOff>
    </xdr:from>
    <xdr:to>
      <xdr:col>7</xdr:col>
      <xdr:colOff>866775</xdr:colOff>
      <xdr:row>79</xdr:row>
      <xdr:rowOff>574675</xdr:rowOff>
    </xdr:to>
    <xdr:graphicFrame macro="">
      <xdr:nvGraphicFramePr>
        <xdr:cNvPr id="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1422400</xdr:colOff>
      <xdr:row>79</xdr:row>
      <xdr:rowOff>720725</xdr:rowOff>
    </xdr:from>
    <xdr:to>
      <xdr:col>7</xdr:col>
      <xdr:colOff>974725</xdr:colOff>
      <xdr:row>94</xdr:row>
      <xdr:rowOff>134937</xdr:rowOff>
    </xdr:to>
    <xdr:graphicFrame macro="">
      <xdr:nvGraphicFramePr>
        <xdr:cNvPr id="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1403350</xdr:colOff>
      <xdr:row>95</xdr:row>
      <xdr:rowOff>138112</xdr:rowOff>
    </xdr:from>
    <xdr:to>
      <xdr:col>7</xdr:col>
      <xdr:colOff>1000125</xdr:colOff>
      <xdr:row>115</xdr:row>
      <xdr:rowOff>65087</xdr:rowOff>
    </xdr:to>
    <xdr:graphicFrame macro="">
      <xdr:nvGraphicFramePr>
        <xdr:cNvPr id="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DGPI-2013-10.7Graph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PI"/>
      <sheetName val="GPIvGSP"/>
      <sheetName val="POP"/>
      <sheetName val="GSP"/>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sheetData sheetId="1"/>
      <sheetData sheetId="2">
        <row r="3">
          <cell r="M3">
            <v>180671</v>
          </cell>
          <cell r="N3">
            <v>183691</v>
          </cell>
          <cell r="O3">
            <v>186538</v>
          </cell>
          <cell r="P3">
            <v>189242</v>
          </cell>
          <cell r="Q3">
            <v>191889</v>
          </cell>
          <cell r="R3">
            <v>194303</v>
          </cell>
          <cell r="S3">
            <v>196560</v>
          </cell>
          <cell r="T3">
            <v>198712</v>
          </cell>
          <cell r="U3">
            <v>200706</v>
          </cell>
          <cell r="V3">
            <v>202677</v>
          </cell>
          <cell r="W3">
            <v>205052</v>
          </cell>
          <cell r="X3">
            <v>207661</v>
          </cell>
          <cell r="Y3">
            <v>209896</v>
          </cell>
          <cell r="Z3">
            <v>211909</v>
          </cell>
          <cell r="AA3">
            <v>213854</v>
          </cell>
          <cell r="AB3">
            <v>215973</v>
          </cell>
          <cell r="AC3">
            <v>218035</v>
          </cell>
          <cell r="AD3">
            <v>220239</v>
          </cell>
          <cell r="AE3">
            <v>222585</v>
          </cell>
          <cell r="AF3">
            <v>225055</v>
          </cell>
          <cell r="AG3">
            <v>227225</v>
          </cell>
          <cell r="AH3">
            <v>229466</v>
          </cell>
          <cell r="AI3">
            <v>231664</v>
          </cell>
          <cell r="AJ3">
            <v>233792</v>
          </cell>
          <cell r="AK3">
            <v>235825</v>
          </cell>
          <cell r="AL3">
            <v>237924</v>
          </cell>
          <cell r="AM3">
            <v>240133</v>
          </cell>
          <cell r="AN3">
            <v>242289</v>
          </cell>
          <cell r="AO3">
            <v>244499</v>
          </cell>
          <cell r="AP3">
            <v>246819</v>
          </cell>
          <cell r="AQ3">
            <v>249623</v>
          </cell>
          <cell r="AR3">
            <v>252981</v>
          </cell>
          <cell r="AS3">
            <v>256514</v>
          </cell>
          <cell r="AT3">
            <v>259919</v>
          </cell>
          <cell r="AU3">
            <v>263126</v>
          </cell>
          <cell r="AV3">
            <v>266278</v>
          </cell>
          <cell r="AW3">
            <v>269394</v>
          </cell>
          <cell r="AX3">
            <v>272647</v>
          </cell>
          <cell r="AY3">
            <v>275854</v>
          </cell>
          <cell r="AZ3">
            <v>279040</v>
          </cell>
          <cell r="BA3">
            <v>282172</v>
          </cell>
          <cell r="BB3">
            <v>285040</v>
          </cell>
          <cell r="BC3">
            <v>287727</v>
          </cell>
          <cell r="BD3">
            <v>290211</v>
          </cell>
          <cell r="BE3">
            <v>292892</v>
          </cell>
          <cell r="BF3">
            <v>295561</v>
          </cell>
          <cell r="BG3">
            <v>298362</v>
          </cell>
          <cell r="BH3">
            <v>301290</v>
          </cell>
          <cell r="BI3">
            <v>304059</v>
          </cell>
          <cell r="BJ3">
            <v>307006</v>
          </cell>
          <cell r="BK3">
            <v>308745</v>
          </cell>
          <cell r="BL3">
            <v>311592</v>
          </cell>
          <cell r="BM3">
            <v>313914</v>
          </cell>
          <cell r="BN3">
            <v>315091.13799999998</v>
          </cell>
        </row>
        <row r="4">
          <cell r="M4">
            <v>3113</v>
          </cell>
          <cell r="N4">
            <v>3176</v>
          </cell>
          <cell r="O4">
            <v>3263</v>
          </cell>
          <cell r="P4">
            <v>3386</v>
          </cell>
          <cell r="Q4">
            <v>3492</v>
          </cell>
          <cell r="R4">
            <v>3600</v>
          </cell>
          <cell r="S4">
            <v>3695</v>
          </cell>
          <cell r="T4">
            <v>3757</v>
          </cell>
          <cell r="U4">
            <v>3815</v>
          </cell>
          <cell r="V4">
            <v>3868</v>
          </cell>
          <cell r="W4">
            <v>3924</v>
          </cell>
          <cell r="X4">
            <v>4018</v>
          </cell>
          <cell r="Y4">
            <v>4073</v>
          </cell>
          <cell r="Z4">
            <v>4098</v>
          </cell>
          <cell r="AA4">
            <v>4119</v>
          </cell>
          <cell r="AB4">
            <v>4139</v>
          </cell>
          <cell r="AC4">
            <v>4151</v>
          </cell>
          <cell r="AD4">
            <v>4170</v>
          </cell>
          <cell r="AE4">
            <v>4184</v>
          </cell>
          <cell r="AF4">
            <v>4191</v>
          </cell>
          <cell r="AG4">
            <v>4217</v>
          </cell>
          <cell r="AH4">
            <v>4262</v>
          </cell>
          <cell r="AI4">
            <v>4283</v>
          </cell>
          <cell r="AJ4">
            <v>4313</v>
          </cell>
          <cell r="AK4">
            <v>4365</v>
          </cell>
          <cell r="AL4">
            <v>4413</v>
          </cell>
          <cell r="AM4">
            <v>4487</v>
          </cell>
          <cell r="AN4">
            <v>4566</v>
          </cell>
          <cell r="AO4">
            <v>4658</v>
          </cell>
          <cell r="AP4">
            <v>4727</v>
          </cell>
          <cell r="AQ4">
            <v>4781</v>
          </cell>
          <cell r="AR4">
            <v>4781</v>
          </cell>
          <cell r="AS4">
            <v>4800</v>
          </cell>
          <cell r="AT4">
            <v>4868</v>
          </cell>
          <cell r="AU4">
            <v>4923</v>
          </cell>
          <cell r="AV4">
            <v>4972</v>
          </cell>
          <cell r="AW4">
            <v>5023</v>
          </cell>
          <cell r="AX4">
            <v>5070</v>
          </cell>
          <cell r="AY4">
            <v>5112</v>
          </cell>
          <cell r="AZ4">
            <v>5157</v>
          </cell>
          <cell r="BA4">
            <v>5204</v>
          </cell>
          <cell r="BB4">
            <v>5255</v>
          </cell>
          <cell r="BC4">
            <v>5439</v>
          </cell>
          <cell r="BD4">
            <v>5495</v>
          </cell>
          <cell r="BE4">
            <v>5539</v>
          </cell>
          <cell r="BF4">
            <v>5576</v>
          </cell>
          <cell r="BG4">
            <v>5602</v>
          </cell>
          <cell r="BH4">
            <v>5619</v>
          </cell>
          <cell r="BI4">
            <v>5634</v>
          </cell>
          <cell r="BJ4">
            <v>5699</v>
          </cell>
          <cell r="BK4">
            <v>5773</v>
          </cell>
          <cell r="BL4">
            <v>5828</v>
          </cell>
          <cell r="BM4">
            <v>5885</v>
          </cell>
          <cell r="BN4">
            <v>5928.8140000000003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bin"/><Relationship Id="rId1" Type="http://schemas.openxmlformats.org/officeDocument/2006/relationships/hyperlink" Target="http://cait.wri.org/cait-us.php?page=background&amp;from=yearly&amp;mode=viewhttp://www.eia.doe.gov/emeu/states/state.html?q_state_a=md&amp;q_state=MARYLANDhttp://www.eia.doe.gov/oiaf/1605/coefficients.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http://cdiac.ornl.gov/pns/current_ghg.html"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eia.doe.gov/emeu/states/state.html?q_state_a=md&amp;q_state=MARYLAND" TargetMode="External"/><Relationship Id="rId1" Type="http://schemas.openxmlformats.org/officeDocument/2006/relationships/hyperlink" Target="http://www.eia.doe.gov/emeu/states/state.html?q_state_a=md&amp;q_state=MARYLAND"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51"/>
  <sheetViews>
    <sheetView zoomScale="80" zoomScaleNormal="80" workbookViewId="0">
      <pane xSplit="2" ySplit="2" topLeftCell="AU15" activePane="bottomRight" state="frozen"/>
      <selection activeCell="AV27" sqref="AV27"/>
      <selection pane="topRight" activeCell="AV27" sqref="AV27"/>
      <selection pane="bottomLeft" activeCell="AV27" sqref="AV27"/>
      <selection pane="bottomRight" activeCell="AV32" sqref="AV32"/>
    </sheetView>
  </sheetViews>
  <sheetFormatPr defaultColWidth="11" defaultRowHeight="13.5" x14ac:dyDescent="0.25"/>
  <cols>
    <col min="1" max="1" width="10.53515625" style="7" customWidth="1"/>
    <col min="2" max="2" width="50.53515625" style="7" customWidth="1"/>
    <col min="3" max="55" width="11" style="7"/>
    <col min="56" max="56" width="11" style="8"/>
    <col min="57" max="16384" width="11" style="7"/>
  </cols>
  <sheetData>
    <row r="1" spans="1:56" s="2" customFormat="1" ht="18" thickBot="1" x14ac:dyDescent="0.4">
      <c r="A1" s="1" t="s">
        <v>0</v>
      </c>
      <c r="B1" s="1"/>
      <c r="C1" s="1"/>
      <c r="D1" s="1"/>
      <c r="E1" s="1"/>
      <c r="BD1" s="3"/>
    </row>
    <row r="2" spans="1:56" s="4" customFormat="1" ht="14" thickTop="1" x14ac:dyDescent="0.25">
      <c r="B2" s="5" t="s">
        <v>1</v>
      </c>
      <c r="C2" s="4">
        <v>1960</v>
      </c>
      <c r="D2" s="4">
        <v>1961</v>
      </c>
      <c r="E2" s="4">
        <v>1962</v>
      </c>
      <c r="F2" s="4">
        <v>1963</v>
      </c>
      <c r="G2" s="4">
        <v>1964</v>
      </c>
      <c r="H2" s="4">
        <v>1965</v>
      </c>
      <c r="I2" s="4">
        <v>1966</v>
      </c>
      <c r="J2" s="4">
        <v>1967</v>
      </c>
      <c r="K2" s="4">
        <v>1968</v>
      </c>
      <c r="L2" s="4">
        <v>1969</v>
      </c>
      <c r="M2" s="4">
        <v>1970</v>
      </c>
      <c r="N2" s="4">
        <v>1971</v>
      </c>
      <c r="O2" s="4">
        <v>1972</v>
      </c>
      <c r="P2" s="4">
        <v>1973</v>
      </c>
      <c r="Q2" s="4">
        <v>1974</v>
      </c>
      <c r="R2" s="4">
        <v>1975</v>
      </c>
      <c r="S2" s="4">
        <v>1976</v>
      </c>
      <c r="T2" s="4">
        <v>1977</v>
      </c>
      <c r="U2" s="4">
        <v>1978</v>
      </c>
      <c r="V2" s="4">
        <v>1979</v>
      </c>
      <c r="W2" s="4">
        <v>1980</v>
      </c>
      <c r="X2" s="4">
        <v>1981</v>
      </c>
      <c r="Y2" s="4">
        <v>1982</v>
      </c>
      <c r="Z2" s="4">
        <v>1983</v>
      </c>
      <c r="AA2" s="4">
        <v>1984</v>
      </c>
      <c r="AB2" s="4">
        <v>1985</v>
      </c>
      <c r="AC2" s="4">
        <v>1986</v>
      </c>
      <c r="AD2" s="4">
        <v>1987</v>
      </c>
      <c r="AE2" s="4">
        <v>1988</v>
      </c>
      <c r="AF2" s="4">
        <v>1989</v>
      </c>
      <c r="AG2" s="4">
        <v>1990</v>
      </c>
      <c r="AH2" s="4">
        <v>1991</v>
      </c>
      <c r="AI2" s="4">
        <v>1992</v>
      </c>
      <c r="AJ2" s="4">
        <v>1993</v>
      </c>
      <c r="AK2" s="4">
        <v>1994</v>
      </c>
      <c r="AL2" s="4">
        <v>1995</v>
      </c>
      <c r="AM2" s="4">
        <v>1996</v>
      </c>
      <c r="AN2" s="4">
        <v>1997</v>
      </c>
      <c r="AO2" s="4">
        <v>1998</v>
      </c>
      <c r="AP2" s="4">
        <v>1999</v>
      </c>
      <c r="AQ2" s="4">
        <v>2000</v>
      </c>
      <c r="AR2" s="4">
        <v>2001</v>
      </c>
      <c r="AS2" s="4">
        <v>2002</v>
      </c>
      <c r="AT2" s="4">
        <v>2003</v>
      </c>
      <c r="AU2" s="4">
        <v>2004</v>
      </c>
      <c r="AV2" s="4">
        <v>2005</v>
      </c>
      <c r="AW2" s="4">
        <v>2006</v>
      </c>
      <c r="AX2" s="4">
        <v>2007</v>
      </c>
      <c r="AY2" s="4">
        <v>2008</v>
      </c>
      <c r="AZ2" s="4">
        <v>2009</v>
      </c>
      <c r="BA2" s="4">
        <v>2010</v>
      </c>
      <c r="BB2" s="4">
        <v>2011</v>
      </c>
      <c r="BC2" s="4">
        <v>2012</v>
      </c>
      <c r="BD2" s="6">
        <v>2013</v>
      </c>
    </row>
    <row r="3" spans="1:56" x14ac:dyDescent="0.25">
      <c r="A3" s="7">
        <v>1</v>
      </c>
      <c r="B3" s="7" t="s">
        <v>2</v>
      </c>
      <c r="C3" s="7">
        <v>0.45426647434704376</v>
      </c>
      <c r="D3" s="7">
        <v>0.46206963137745499</v>
      </c>
      <c r="E3" s="7">
        <v>0.47010688311877868</v>
      </c>
      <c r="F3" s="7">
        <v>0.47838525241234214</v>
      </c>
      <c r="G3" s="7">
        <v>0.48691197278471243</v>
      </c>
      <c r="H3" s="7">
        <v>0.49569449476825367</v>
      </c>
      <c r="I3" s="7">
        <v>0.50474049241130148</v>
      </c>
      <c r="J3" s="7">
        <v>0.51405786998364034</v>
      </c>
      <c r="K3" s="7">
        <v>0.52365476888314955</v>
      </c>
      <c r="L3" s="7">
        <v>0.53353957474964409</v>
      </c>
      <c r="M3" s="7">
        <v>0.5437209247921333</v>
      </c>
      <c r="N3" s="7">
        <v>0.55420771533589719</v>
      </c>
      <c r="O3" s="7">
        <v>0.56500910959597417</v>
      </c>
      <c r="P3" s="7">
        <v>0.57613454568385336</v>
      </c>
      <c r="Q3" s="7">
        <v>0.58759374485436899</v>
      </c>
      <c r="R3" s="7">
        <v>0.59939672000000022</v>
      </c>
      <c r="S3" s="7">
        <v>0.59939672000000022</v>
      </c>
      <c r="T3" s="7">
        <v>0.59939672000000022</v>
      </c>
      <c r="U3" s="7">
        <v>0.59939672000000022</v>
      </c>
      <c r="V3" s="7">
        <v>0.35990864000000011</v>
      </c>
      <c r="W3" s="7">
        <v>0.35990864000000011</v>
      </c>
      <c r="X3" s="7">
        <v>0.35990864000000011</v>
      </c>
      <c r="Y3" s="7">
        <v>0.35990864000000011</v>
      </c>
      <c r="Z3" s="7">
        <v>0.34367216</v>
      </c>
      <c r="AA3" s="7">
        <v>0.34367216</v>
      </c>
      <c r="AB3" s="7">
        <v>0.34367216</v>
      </c>
      <c r="AC3" s="7">
        <v>0.34367216000000006</v>
      </c>
      <c r="AD3" s="7">
        <v>0.30916964000000002</v>
      </c>
      <c r="AE3" s="7">
        <v>0.30916964000000002</v>
      </c>
      <c r="AF3" s="7">
        <v>0.30916964000000002</v>
      </c>
      <c r="AG3" s="7">
        <v>0.30916964000000002</v>
      </c>
      <c r="AH3" s="7">
        <v>0.24422372000000001</v>
      </c>
      <c r="AI3" s="7">
        <v>0.24422372000000001</v>
      </c>
      <c r="AJ3" s="7">
        <v>0.24422372000000001</v>
      </c>
      <c r="AK3" s="7">
        <v>0.24422372000000001</v>
      </c>
      <c r="AL3" s="7">
        <v>0.24422372000000001</v>
      </c>
      <c r="AM3" s="7">
        <v>0.27263756</v>
      </c>
      <c r="AN3" s="7">
        <v>0.24219415999999999</v>
      </c>
      <c r="AO3" s="7">
        <v>0.23745852000000003</v>
      </c>
      <c r="AP3" s="7">
        <v>0.23204635999999998</v>
      </c>
      <c r="AQ3" s="7">
        <v>0.22460464000000002</v>
      </c>
      <c r="AR3" s="7">
        <v>0.15830568</v>
      </c>
      <c r="AS3" s="7">
        <v>0.21851595999999998</v>
      </c>
      <c r="AT3" s="7">
        <v>0.1758952</v>
      </c>
      <c r="AU3" s="7">
        <v>0.21107424</v>
      </c>
      <c r="AV3" s="7">
        <v>0.21378032</v>
      </c>
      <c r="AW3" s="7">
        <v>0.2097212</v>
      </c>
      <c r="AX3" s="7">
        <v>0.20566208</v>
      </c>
      <c r="AY3" s="7">
        <v>0.19686732000000004</v>
      </c>
      <c r="AZ3" s="7">
        <v>0.20160296</v>
      </c>
      <c r="BA3" s="7">
        <f>BA12</f>
        <v>0.19551427999999998</v>
      </c>
      <c r="BB3" s="7">
        <f>BB12</f>
        <v>0.19551427999999998</v>
      </c>
      <c r="BC3" s="7">
        <f>BC12</f>
        <v>0.24422372000000001</v>
      </c>
      <c r="BD3" s="8">
        <f>BD12</f>
        <v>0.22731072000000002</v>
      </c>
    </row>
    <row r="4" spans="1:56" s="10" customFormat="1" x14ac:dyDescent="0.25">
      <c r="A4" s="9">
        <v>2</v>
      </c>
      <c r="B4" s="10" t="s">
        <v>3</v>
      </c>
      <c r="C4" s="10">
        <v>67.147530649063398</v>
      </c>
      <c r="D4" s="10">
        <v>68.300956568535298</v>
      </c>
      <c r="E4" s="10">
        <v>69.488985265591367</v>
      </c>
      <c r="F4" s="10">
        <v>70.71265482355912</v>
      </c>
      <c r="G4" s="10">
        <v>71.973034468265894</v>
      </c>
      <c r="H4" s="10">
        <v>73.271225502313854</v>
      </c>
      <c r="I4" s="10">
        <v>74.608362267383285</v>
      </c>
      <c r="J4" s="10">
        <v>75.985613135404776</v>
      </c>
      <c r="K4" s="10">
        <v>77.404181529466911</v>
      </c>
      <c r="L4" s="10">
        <v>78.865306975350919</v>
      </c>
      <c r="M4" s="10">
        <v>80.370266184611438</v>
      </c>
      <c r="N4" s="10">
        <v>81.920374170149771</v>
      </c>
      <c r="O4" s="10">
        <v>83.516985395254267</v>
      </c>
      <c r="P4" s="10">
        <v>85.161494957111898</v>
      </c>
      <c r="Q4" s="10">
        <v>86.855339805825253</v>
      </c>
      <c r="R4" s="10">
        <v>88.6</v>
      </c>
      <c r="S4" s="10">
        <v>88.6</v>
      </c>
      <c r="T4" s="10">
        <v>88.6</v>
      </c>
      <c r="U4" s="10">
        <v>88.6</v>
      </c>
      <c r="V4" s="10">
        <v>53.2</v>
      </c>
      <c r="W4" s="10">
        <v>53.2</v>
      </c>
      <c r="X4" s="10">
        <v>53.2</v>
      </c>
      <c r="Y4" s="10">
        <v>53.2</v>
      </c>
      <c r="Z4" s="10">
        <v>50.8</v>
      </c>
      <c r="AA4" s="10">
        <v>50.8</v>
      </c>
      <c r="AB4" s="10">
        <v>50.8</v>
      </c>
      <c r="AC4" s="10">
        <v>50.8</v>
      </c>
      <c r="AD4" s="10">
        <v>45.7</v>
      </c>
      <c r="AE4" s="10">
        <v>45.7</v>
      </c>
      <c r="AF4" s="10">
        <v>45.7</v>
      </c>
      <c r="AG4" s="10">
        <v>45.7</v>
      </c>
      <c r="AH4" s="10">
        <v>36.1</v>
      </c>
      <c r="AI4" s="10">
        <v>36.1</v>
      </c>
      <c r="AJ4" s="10">
        <v>36.1</v>
      </c>
      <c r="AK4" s="10">
        <v>36.1</v>
      </c>
      <c r="AL4" s="10">
        <v>36.1</v>
      </c>
      <c r="AM4" s="10">
        <v>40.299999999999997</v>
      </c>
      <c r="AN4" s="10">
        <v>35.799999999999997</v>
      </c>
      <c r="AO4" s="10">
        <v>35.1</v>
      </c>
      <c r="AP4" s="10">
        <v>34.299999999999997</v>
      </c>
      <c r="AQ4" s="10">
        <v>33.200000000000003</v>
      </c>
      <c r="AR4" s="10">
        <v>23.4</v>
      </c>
      <c r="AS4" s="10">
        <v>32.299999999999997</v>
      </c>
      <c r="AT4" s="10">
        <v>26</v>
      </c>
      <c r="AU4" s="10">
        <v>31.2</v>
      </c>
      <c r="AV4" s="10">
        <v>31.6</v>
      </c>
      <c r="AW4" s="10">
        <v>31</v>
      </c>
      <c r="AX4" s="10">
        <v>30.4</v>
      </c>
      <c r="AY4" s="10">
        <v>29.1</v>
      </c>
      <c r="AZ4" s="10">
        <v>29.8</v>
      </c>
      <c r="BA4" s="10">
        <f>BA16</f>
        <v>28.9</v>
      </c>
      <c r="BB4" s="10">
        <f>BB16</f>
        <v>28.9</v>
      </c>
      <c r="BC4" s="10">
        <f>BC16</f>
        <v>36.1</v>
      </c>
      <c r="BD4" s="8">
        <f>BD16</f>
        <v>33.6</v>
      </c>
    </row>
    <row r="6" spans="1:56" x14ac:dyDescent="0.25">
      <c r="A6" s="130" t="s">
        <v>4</v>
      </c>
      <c r="B6" s="130"/>
    </row>
    <row r="7" spans="1:56" x14ac:dyDescent="0.25">
      <c r="A7" s="7">
        <v>1</v>
      </c>
      <c r="B7" s="7" t="s">
        <v>5</v>
      </c>
    </row>
    <row r="8" spans="1:56" x14ac:dyDescent="0.25">
      <c r="A8" s="7">
        <v>2</v>
      </c>
      <c r="B8" s="7" t="s">
        <v>6</v>
      </c>
    </row>
    <row r="11" spans="1:56" x14ac:dyDescent="0.25">
      <c r="A11" s="130" t="s">
        <v>7</v>
      </c>
      <c r="B11" s="130"/>
    </row>
    <row r="12" spans="1:56" s="11" customFormat="1" x14ac:dyDescent="0.25">
      <c r="A12" s="11">
        <v>1</v>
      </c>
      <c r="B12" s="11" t="s">
        <v>2</v>
      </c>
      <c r="C12" s="11">
        <f>C16/100*0.67652</f>
        <v>0.45426647434704376</v>
      </c>
      <c r="D12" s="11">
        <f t="shared" ref="D12:BB12" si="0">D16/100*0.67652</f>
        <v>0.46206963137745499</v>
      </c>
      <c r="E12" s="11">
        <f t="shared" si="0"/>
        <v>0.47010688311877868</v>
      </c>
      <c r="F12" s="11">
        <f t="shared" si="0"/>
        <v>0.47838525241234214</v>
      </c>
      <c r="G12" s="11">
        <f t="shared" si="0"/>
        <v>0.48691197278471243</v>
      </c>
      <c r="H12" s="11">
        <f t="shared" si="0"/>
        <v>0.49569449476825367</v>
      </c>
      <c r="I12" s="11">
        <f t="shared" si="0"/>
        <v>0.50474049241130148</v>
      </c>
      <c r="J12" s="11">
        <f t="shared" si="0"/>
        <v>0.51405786998364034</v>
      </c>
      <c r="K12" s="11">
        <f t="shared" si="0"/>
        <v>0.52365476888314955</v>
      </c>
      <c r="L12" s="11">
        <f t="shared" si="0"/>
        <v>0.53353957474964409</v>
      </c>
      <c r="M12" s="11">
        <f t="shared" si="0"/>
        <v>0.5437209247921333</v>
      </c>
      <c r="N12" s="11">
        <f t="shared" si="0"/>
        <v>0.55420771533589719</v>
      </c>
      <c r="O12" s="11">
        <f t="shared" si="0"/>
        <v>0.56500910959597417</v>
      </c>
      <c r="P12" s="11">
        <f t="shared" si="0"/>
        <v>0.57613454568385336</v>
      </c>
      <c r="Q12" s="11">
        <f t="shared" si="0"/>
        <v>0.58759374485436899</v>
      </c>
      <c r="R12" s="11">
        <f t="shared" si="0"/>
        <v>0.59939672000000022</v>
      </c>
      <c r="S12" s="11">
        <f t="shared" si="0"/>
        <v>0.59939672000000022</v>
      </c>
      <c r="T12" s="11">
        <f t="shared" si="0"/>
        <v>0.59939672000000022</v>
      </c>
      <c r="U12" s="11">
        <f t="shared" si="0"/>
        <v>0.59939672000000022</v>
      </c>
      <c r="V12" s="11">
        <f t="shared" si="0"/>
        <v>0.35990864000000011</v>
      </c>
      <c r="W12" s="11">
        <f t="shared" si="0"/>
        <v>0.35990864000000011</v>
      </c>
      <c r="X12" s="11">
        <f t="shared" si="0"/>
        <v>0.35990864000000011</v>
      </c>
      <c r="Y12" s="11">
        <f t="shared" si="0"/>
        <v>0.35990864000000011</v>
      </c>
      <c r="Z12" s="11">
        <f t="shared" si="0"/>
        <v>0.34367216</v>
      </c>
      <c r="AA12" s="11">
        <f t="shared" si="0"/>
        <v>0.34367216</v>
      </c>
      <c r="AB12" s="11">
        <f t="shared" si="0"/>
        <v>0.34367216</v>
      </c>
      <c r="AC12" s="11">
        <f t="shared" si="0"/>
        <v>0.34367216000000006</v>
      </c>
      <c r="AD12" s="11">
        <f t="shared" si="0"/>
        <v>0.30916964000000002</v>
      </c>
      <c r="AE12" s="11">
        <f t="shared" si="0"/>
        <v>0.30916964000000002</v>
      </c>
      <c r="AF12" s="11">
        <f t="shared" si="0"/>
        <v>0.30916964000000002</v>
      </c>
      <c r="AG12" s="11">
        <f t="shared" si="0"/>
        <v>0.30916964000000002</v>
      </c>
      <c r="AH12" s="11">
        <f t="shared" si="0"/>
        <v>0.24422372000000001</v>
      </c>
      <c r="AI12" s="11">
        <f t="shared" si="0"/>
        <v>0.24422372000000001</v>
      </c>
      <c r="AJ12" s="11">
        <f t="shared" si="0"/>
        <v>0.24422372000000001</v>
      </c>
      <c r="AK12" s="11">
        <f t="shared" si="0"/>
        <v>0.24422372000000001</v>
      </c>
      <c r="AL12" s="11">
        <f t="shared" si="0"/>
        <v>0.24422372000000001</v>
      </c>
      <c r="AM12" s="11">
        <f t="shared" si="0"/>
        <v>0.27263756</v>
      </c>
      <c r="AN12" s="11">
        <f t="shared" si="0"/>
        <v>0.24219415999999999</v>
      </c>
      <c r="AO12" s="11">
        <f t="shared" si="0"/>
        <v>0.23745852000000003</v>
      </c>
      <c r="AP12" s="11">
        <f t="shared" si="0"/>
        <v>0.23204635999999998</v>
      </c>
      <c r="AQ12" s="11">
        <f t="shared" si="0"/>
        <v>0.22460464000000002</v>
      </c>
      <c r="AR12" s="11">
        <f t="shared" si="0"/>
        <v>0.15830568</v>
      </c>
      <c r="AS12" s="11">
        <f t="shared" si="0"/>
        <v>0.21851595999999998</v>
      </c>
      <c r="AT12" s="11">
        <f t="shared" si="0"/>
        <v>0.1758952</v>
      </c>
      <c r="AU12" s="11">
        <f t="shared" si="0"/>
        <v>0.21107424</v>
      </c>
      <c r="AV12" s="11">
        <f t="shared" si="0"/>
        <v>0.21378032</v>
      </c>
      <c r="AW12" s="11">
        <f t="shared" si="0"/>
        <v>0.2097212</v>
      </c>
      <c r="AX12" s="11">
        <f t="shared" si="0"/>
        <v>0.20566208</v>
      </c>
      <c r="AY12" s="11">
        <f t="shared" si="0"/>
        <v>0.19686732000000004</v>
      </c>
      <c r="AZ12" s="11">
        <f t="shared" si="0"/>
        <v>0.20160296</v>
      </c>
      <c r="BA12" s="11">
        <f t="shared" si="0"/>
        <v>0.19551427999999998</v>
      </c>
      <c r="BB12" s="11">
        <f t="shared" si="0"/>
        <v>0.19551427999999998</v>
      </c>
      <c r="BC12" s="11">
        <f>BC16/100*0.67652</f>
        <v>0.24422372000000001</v>
      </c>
      <c r="BD12" s="8">
        <f>BD16/100*0.67652</f>
        <v>0.22731072000000002</v>
      </c>
    </row>
    <row r="13" spans="1:56" s="12" customFormat="1" x14ac:dyDescent="0.25">
      <c r="A13" s="12">
        <v>2</v>
      </c>
      <c r="B13" s="12" t="s">
        <v>8</v>
      </c>
      <c r="AL13" s="12">
        <v>36.1</v>
      </c>
      <c r="AM13" s="12">
        <v>40.299999999999997</v>
      </c>
      <c r="AN13" s="12">
        <v>35.799999999999997</v>
      </c>
      <c r="AO13" s="12">
        <v>35.1</v>
      </c>
      <c r="AP13" s="12">
        <v>34.299999999999997</v>
      </c>
      <c r="AQ13" s="12">
        <v>33.200000000000003</v>
      </c>
      <c r="AR13" s="12">
        <v>23.4</v>
      </c>
      <c r="AS13" s="12">
        <v>32.299999999999997</v>
      </c>
      <c r="AT13" s="12">
        <v>26</v>
      </c>
      <c r="AU13" s="12">
        <v>31.2</v>
      </c>
      <c r="AV13" s="12">
        <v>31.6</v>
      </c>
      <c r="AW13" s="12">
        <v>31</v>
      </c>
      <c r="AX13" s="12">
        <v>30.4</v>
      </c>
      <c r="AY13" s="12">
        <v>29.1</v>
      </c>
      <c r="AZ13" s="12">
        <v>29.8</v>
      </c>
      <c r="BA13" s="12">
        <v>28.9</v>
      </c>
      <c r="BB13" s="12">
        <v>28.9</v>
      </c>
      <c r="BC13" s="12">
        <v>36.1</v>
      </c>
      <c r="BD13" s="13">
        <v>33.6</v>
      </c>
    </row>
    <row r="14" spans="1:56" s="12" customFormat="1" x14ac:dyDescent="0.25">
      <c r="A14" s="12">
        <v>3</v>
      </c>
      <c r="B14" s="12" t="s">
        <v>9</v>
      </c>
      <c r="R14" s="12">
        <v>59.9</v>
      </c>
      <c r="S14" s="12">
        <v>59.9</v>
      </c>
      <c r="T14" s="12">
        <v>59.9</v>
      </c>
      <c r="U14" s="12">
        <v>59.9</v>
      </c>
      <c r="V14" s="12">
        <v>24.5</v>
      </c>
      <c r="W14" s="12">
        <v>24.5</v>
      </c>
      <c r="X14" s="12">
        <v>24.5</v>
      </c>
      <c r="Y14" s="12">
        <v>24.5</v>
      </c>
      <c r="Z14" s="12">
        <v>22.1</v>
      </c>
      <c r="AA14" s="12">
        <v>22.1</v>
      </c>
      <c r="AB14" s="12">
        <v>22.1</v>
      </c>
      <c r="AC14" s="12">
        <v>22.1</v>
      </c>
      <c r="AD14" s="12">
        <v>17</v>
      </c>
      <c r="AE14" s="12">
        <v>17</v>
      </c>
      <c r="AF14" s="12">
        <v>17</v>
      </c>
      <c r="AG14" s="12">
        <v>17</v>
      </c>
      <c r="AH14" s="12">
        <v>7.4</v>
      </c>
      <c r="AI14" s="12">
        <v>7.4</v>
      </c>
      <c r="AJ14" s="12">
        <v>7.4</v>
      </c>
      <c r="AK14" s="12">
        <v>7.4</v>
      </c>
      <c r="BD14" s="8"/>
    </row>
    <row r="15" spans="1:56" s="12" customFormat="1" x14ac:dyDescent="0.25">
      <c r="A15" s="12">
        <v>4</v>
      </c>
      <c r="B15" s="12" t="s">
        <v>10</v>
      </c>
      <c r="C15" s="12">
        <f t="shared" ref="C15:P15" si="1">100/103*D15</f>
        <v>38.447530649063395</v>
      </c>
      <c r="D15" s="12">
        <f t="shared" si="1"/>
        <v>39.600956568535295</v>
      </c>
      <c r="E15" s="12">
        <f t="shared" si="1"/>
        <v>40.788985265591357</v>
      </c>
      <c r="F15" s="12">
        <f t="shared" si="1"/>
        <v>42.012654823559096</v>
      </c>
      <c r="G15" s="12">
        <f t="shared" si="1"/>
        <v>43.27303446826587</v>
      </c>
      <c r="H15" s="12">
        <f t="shared" si="1"/>
        <v>44.571225502313844</v>
      </c>
      <c r="I15" s="12">
        <f t="shared" si="1"/>
        <v>45.908362267383261</v>
      </c>
      <c r="J15" s="12">
        <f t="shared" si="1"/>
        <v>47.285613135404759</v>
      </c>
      <c r="K15" s="12">
        <f t="shared" si="1"/>
        <v>48.704181529466901</v>
      </c>
      <c r="L15" s="12">
        <f t="shared" si="1"/>
        <v>50.165306975350909</v>
      </c>
      <c r="M15" s="12">
        <f t="shared" si="1"/>
        <v>51.670266184611435</v>
      </c>
      <c r="N15" s="12">
        <f t="shared" si="1"/>
        <v>53.220374170149775</v>
      </c>
      <c r="O15" s="12">
        <f t="shared" si="1"/>
        <v>54.816985395254264</v>
      </c>
      <c r="P15" s="12">
        <f t="shared" si="1"/>
        <v>56.461494957111888</v>
      </c>
      <c r="Q15" s="12">
        <f>100/103*R14</f>
        <v>58.155339805825243</v>
      </c>
      <c r="BD15" s="8"/>
    </row>
    <row r="16" spans="1:56" s="11" customFormat="1" x14ac:dyDescent="0.25">
      <c r="A16" s="11">
        <v>5</v>
      </c>
      <c r="B16" s="11" t="s">
        <v>3</v>
      </c>
      <c r="C16" s="11">
        <f t="shared" ref="C16:P16" si="2">D16+C15-D15</f>
        <v>67.147530649063398</v>
      </c>
      <c r="D16" s="11">
        <f t="shared" si="2"/>
        <v>68.300956568535298</v>
      </c>
      <c r="E16" s="11">
        <f t="shared" si="2"/>
        <v>69.488985265591367</v>
      </c>
      <c r="F16" s="11">
        <f t="shared" si="2"/>
        <v>70.71265482355912</v>
      </c>
      <c r="G16" s="11">
        <f t="shared" si="2"/>
        <v>71.973034468265894</v>
      </c>
      <c r="H16" s="11">
        <f t="shared" si="2"/>
        <v>73.271225502313854</v>
      </c>
      <c r="I16" s="11">
        <f t="shared" si="2"/>
        <v>74.608362267383285</v>
      </c>
      <c r="J16" s="11">
        <f t="shared" si="2"/>
        <v>75.985613135404776</v>
      </c>
      <c r="K16" s="11">
        <f t="shared" si="2"/>
        <v>77.404181529466911</v>
      </c>
      <c r="L16" s="11">
        <f t="shared" si="2"/>
        <v>78.865306975350919</v>
      </c>
      <c r="M16" s="11">
        <f t="shared" si="2"/>
        <v>80.370266184611438</v>
      </c>
      <c r="N16" s="11">
        <f t="shared" si="2"/>
        <v>81.920374170149771</v>
      </c>
      <c r="O16" s="11">
        <f t="shared" si="2"/>
        <v>83.516985395254267</v>
      </c>
      <c r="P16" s="11">
        <f t="shared" si="2"/>
        <v>85.161494957111898</v>
      </c>
      <c r="Q16" s="11">
        <f>R16+Q15-R14</f>
        <v>86.855339805825253</v>
      </c>
      <c r="R16" s="11">
        <f t="shared" ref="R16:AG16" si="3">S16+R14-S14</f>
        <v>88.600000000000023</v>
      </c>
      <c r="S16" s="11">
        <f t="shared" si="3"/>
        <v>88.600000000000023</v>
      </c>
      <c r="T16" s="11">
        <f t="shared" si="3"/>
        <v>88.600000000000023</v>
      </c>
      <c r="U16" s="11">
        <f t="shared" si="3"/>
        <v>88.600000000000023</v>
      </c>
      <c r="V16" s="11">
        <f t="shared" si="3"/>
        <v>53.200000000000017</v>
      </c>
      <c r="W16" s="11">
        <f t="shared" si="3"/>
        <v>53.200000000000017</v>
      </c>
      <c r="X16" s="11">
        <f t="shared" si="3"/>
        <v>53.200000000000017</v>
      </c>
      <c r="Y16" s="11">
        <f t="shared" si="3"/>
        <v>53.20000000000001</v>
      </c>
      <c r="Z16" s="11">
        <f t="shared" si="3"/>
        <v>50.800000000000004</v>
      </c>
      <c r="AA16" s="11">
        <f t="shared" si="3"/>
        <v>50.800000000000004</v>
      </c>
      <c r="AB16" s="11">
        <f t="shared" si="3"/>
        <v>50.800000000000004</v>
      </c>
      <c r="AC16" s="11">
        <f t="shared" si="3"/>
        <v>50.800000000000011</v>
      </c>
      <c r="AD16" s="11">
        <f t="shared" si="3"/>
        <v>45.7</v>
      </c>
      <c r="AE16" s="11">
        <f t="shared" si="3"/>
        <v>45.7</v>
      </c>
      <c r="AF16" s="11">
        <f t="shared" si="3"/>
        <v>45.7</v>
      </c>
      <c r="AG16" s="11">
        <f t="shared" si="3"/>
        <v>45.7</v>
      </c>
      <c r="AH16" s="11">
        <f>AI16</f>
        <v>36.1</v>
      </c>
      <c r="AI16" s="11">
        <f>AJ16</f>
        <v>36.1</v>
      </c>
      <c r="AJ16" s="11">
        <f>AK16</f>
        <v>36.1</v>
      </c>
      <c r="AK16" s="11">
        <f>AL16</f>
        <v>36.1</v>
      </c>
      <c r="AL16" s="11">
        <f>AL13</f>
        <v>36.1</v>
      </c>
      <c r="AM16" s="11">
        <f t="shared" ref="AM16:BB16" si="4">AM13</f>
        <v>40.299999999999997</v>
      </c>
      <c r="AN16" s="11">
        <f t="shared" si="4"/>
        <v>35.799999999999997</v>
      </c>
      <c r="AO16" s="11">
        <f t="shared" si="4"/>
        <v>35.1</v>
      </c>
      <c r="AP16" s="11">
        <f t="shared" si="4"/>
        <v>34.299999999999997</v>
      </c>
      <c r="AQ16" s="11">
        <f t="shared" si="4"/>
        <v>33.200000000000003</v>
      </c>
      <c r="AR16" s="11">
        <f t="shared" si="4"/>
        <v>23.4</v>
      </c>
      <c r="AS16" s="11">
        <f t="shared" si="4"/>
        <v>32.299999999999997</v>
      </c>
      <c r="AT16" s="11">
        <f t="shared" si="4"/>
        <v>26</v>
      </c>
      <c r="AU16" s="11">
        <f t="shared" si="4"/>
        <v>31.2</v>
      </c>
      <c r="AV16" s="11">
        <f t="shared" si="4"/>
        <v>31.6</v>
      </c>
      <c r="AW16" s="11">
        <f t="shared" si="4"/>
        <v>31</v>
      </c>
      <c r="AX16" s="11">
        <f t="shared" si="4"/>
        <v>30.4</v>
      </c>
      <c r="AY16" s="11">
        <f t="shared" si="4"/>
        <v>29.1</v>
      </c>
      <c r="AZ16" s="11">
        <f t="shared" si="4"/>
        <v>29.8</v>
      </c>
      <c r="BA16" s="11">
        <f t="shared" si="4"/>
        <v>28.9</v>
      </c>
      <c r="BB16" s="11">
        <f t="shared" si="4"/>
        <v>28.9</v>
      </c>
      <c r="BC16" s="11">
        <f>BC13</f>
        <v>36.1</v>
      </c>
      <c r="BD16" s="8">
        <f>BD13</f>
        <v>33.6</v>
      </c>
    </row>
    <row r="18" spans="1:11" x14ac:dyDescent="0.25">
      <c r="A18" s="130" t="s">
        <v>11</v>
      </c>
      <c r="B18" s="130"/>
    </row>
    <row r="19" spans="1:11" x14ac:dyDescent="0.25">
      <c r="A19" s="7">
        <v>1</v>
      </c>
      <c r="B19" s="7" t="s">
        <v>12</v>
      </c>
    </row>
    <row r="20" spans="1:11" x14ac:dyDescent="0.25">
      <c r="A20" s="7">
        <v>2</v>
      </c>
      <c r="B20" s="7" t="s">
        <v>13</v>
      </c>
    </row>
    <row r="21" spans="1:11" x14ac:dyDescent="0.25">
      <c r="A21" s="7">
        <v>3</v>
      </c>
      <c r="B21" s="7" t="s">
        <v>13</v>
      </c>
    </row>
    <row r="22" spans="1:11" x14ac:dyDescent="0.25">
      <c r="A22" s="7">
        <v>4</v>
      </c>
      <c r="B22" s="7" t="s">
        <v>14</v>
      </c>
    </row>
    <row r="23" spans="1:11" x14ac:dyDescent="0.25">
      <c r="A23" s="7">
        <v>5</v>
      </c>
      <c r="B23" s="7" t="s">
        <v>15</v>
      </c>
    </row>
    <row r="25" spans="1:11" x14ac:dyDescent="0.25">
      <c r="E25" s="14"/>
      <c r="F25" s="14"/>
    </row>
    <row r="27" spans="1:11" ht="14" x14ac:dyDescent="0.3">
      <c r="A27" s="130" t="s">
        <v>16</v>
      </c>
      <c r="B27" s="131"/>
    </row>
    <row r="28" spans="1:11" ht="18" customHeight="1" x14ac:dyDescent="0.3">
      <c r="A28" s="133" t="s">
        <v>17</v>
      </c>
      <c r="B28" s="133"/>
      <c r="C28" s="133"/>
      <c r="D28" s="134"/>
      <c r="E28" s="134"/>
      <c r="F28" s="134"/>
    </row>
    <row r="31" spans="1:11" ht="14" x14ac:dyDescent="0.3">
      <c r="A31" s="130" t="s">
        <v>18</v>
      </c>
      <c r="B31" s="131"/>
    </row>
    <row r="32" spans="1:11" ht="327.75" customHeight="1" x14ac:dyDescent="0.25">
      <c r="A32" s="129" t="s">
        <v>19</v>
      </c>
      <c r="B32" s="129"/>
      <c r="C32" s="129"/>
      <c r="D32" s="129"/>
      <c r="E32" s="129"/>
      <c r="F32" s="129"/>
      <c r="G32" s="15"/>
      <c r="H32" s="15"/>
      <c r="I32" s="15"/>
      <c r="J32" s="15"/>
      <c r="K32" s="15"/>
    </row>
    <row r="33" spans="1:56" x14ac:dyDescent="0.25">
      <c r="B33" s="7" t="s">
        <v>20</v>
      </c>
    </row>
    <row r="35" spans="1:56" ht="14" x14ac:dyDescent="0.3">
      <c r="A35" s="130" t="s">
        <v>21</v>
      </c>
      <c r="B35" s="131"/>
    </row>
    <row r="36" spans="1:56" ht="78" customHeight="1" x14ac:dyDescent="0.25">
      <c r="A36" s="129"/>
      <c r="B36" s="132"/>
      <c r="C36" s="132"/>
      <c r="D36" s="132"/>
      <c r="E36" s="132"/>
      <c r="F36" s="132"/>
      <c r="G36" s="132"/>
      <c r="H36" s="132"/>
      <c r="I36" s="132"/>
      <c r="J36" s="132"/>
      <c r="K36" s="132"/>
    </row>
    <row r="38" spans="1:56" ht="14" x14ac:dyDescent="0.3">
      <c r="A38" s="130" t="s">
        <v>22</v>
      </c>
      <c r="B38" s="131"/>
    </row>
    <row r="39" spans="1:56" ht="110" customHeight="1" x14ac:dyDescent="0.25">
      <c r="A39" s="129" t="s">
        <v>23</v>
      </c>
      <c r="B39" s="129"/>
      <c r="C39" s="129"/>
      <c r="D39" s="129"/>
      <c r="E39" s="129"/>
      <c r="F39" s="129"/>
      <c r="G39" s="129"/>
      <c r="H39" s="129"/>
      <c r="I39" s="129"/>
      <c r="J39" s="129"/>
      <c r="K39" s="129"/>
    </row>
    <row r="41" spans="1:56" customFormat="1" x14ac:dyDescent="0.3">
      <c r="BD41" s="16"/>
    </row>
    <row r="42" spans="1:56" customFormat="1" x14ac:dyDescent="0.3">
      <c r="BD42" s="16"/>
    </row>
    <row r="43" spans="1:56" customFormat="1" ht="107" customHeight="1" x14ac:dyDescent="0.3">
      <c r="BD43" s="16"/>
    </row>
    <row r="44" spans="1:56" customFormat="1" x14ac:dyDescent="0.3">
      <c r="BD44" s="16"/>
    </row>
    <row r="45" spans="1:56" customFormat="1" x14ac:dyDescent="0.3">
      <c r="BD45" s="16"/>
    </row>
    <row r="46" spans="1:56" customFormat="1" ht="15.75" customHeight="1" x14ac:dyDescent="0.3">
      <c r="BD46" s="16"/>
    </row>
    <row r="47" spans="1:56" customFormat="1" x14ac:dyDescent="0.3">
      <c r="BD47" s="16"/>
    </row>
    <row r="51" spans="20:47" x14ac:dyDescent="0.25">
      <c r="T51" s="7">
        <v>58.89</v>
      </c>
      <c r="U51" s="7">
        <v>60.14</v>
      </c>
      <c r="V51" s="7">
        <v>61.12</v>
      </c>
      <c r="W51" s="7">
        <v>62.13</v>
      </c>
      <c r="X51" s="7">
        <v>63.07</v>
      </c>
      <c r="Y51" s="7">
        <v>64.36</v>
      </c>
      <c r="Z51" s="7">
        <v>65.459999999999994</v>
      </c>
      <c r="AA51" s="7">
        <v>66.22</v>
      </c>
      <c r="AB51" s="7">
        <v>66.62</v>
      </c>
      <c r="AC51" s="7">
        <v>68.47</v>
      </c>
      <c r="AD51" s="7">
        <v>69.959999999999994</v>
      </c>
      <c r="AE51" s="7">
        <v>71.599999999999994</v>
      </c>
      <c r="AF51" s="7">
        <v>73.290000000000006</v>
      </c>
      <c r="AG51" s="7">
        <v>74.17</v>
      </c>
      <c r="AH51" s="7">
        <v>75.260000000000005</v>
      </c>
      <c r="AI51" s="7">
        <v>76.97</v>
      </c>
      <c r="AJ51" s="7">
        <v>78.94</v>
      </c>
      <c r="AK51" s="7">
        <v>80.61</v>
      </c>
      <c r="AL51" s="7">
        <v>81.92</v>
      </c>
      <c r="AM51" s="7">
        <v>84.06</v>
      </c>
      <c r="AN51" s="7">
        <v>85.58</v>
      </c>
      <c r="AO51" s="7">
        <v>87.05</v>
      </c>
      <c r="AP51" s="7">
        <v>88.4</v>
      </c>
      <c r="AQ51" s="7">
        <v>89.7</v>
      </c>
      <c r="AR51" s="7">
        <v>91.22</v>
      </c>
      <c r="AS51" s="7">
        <v>92.4</v>
      </c>
      <c r="AT51" s="7">
        <v>93.85</v>
      </c>
      <c r="AU51" s="7">
        <v>95.81</v>
      </c>
    </row>
  </sheetData>
  <mergeCells count="11">
    <mergeCell ref="A31:B31"/>
    <mergeCell ref="A6:B6"/>
    <mergeCell ref="A11:B11"/>
    <mergeCell ref="A18:B18"/>
    <mergeCell ref="A27:B27"/>
    <mergeCell ref="A28:F28"/>
    <mergeCell ref="A32:F32"/>
    <mergeCell ref="A35:B35"/>
    <mergeCell ref="A36:K36"/>
    <mergeCell ref="A38:B38"/>
    <mergeCell ref="A39:K39"/>
  </mergeCells>
  <pageMargins left="0.75000000000000011" right="0.75000000000000011" top="1" bottom="1" header="0.5" footer="0.5"/>
  <pageSetup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53"/>
  <sheetViews>
    <sheetView zoomScale="80" zoomScaleNormal="80" workbookViewId="0">
      <pane xSplit="2" ySplit="2" topLeftCell="H30" activePane="bottomRight" state="frozen"/>
      <selection activeCell="AV27" sqref="AV27"/>
      <selection pane="topRight" activeCell="AV27" sqref="AV27"/>
      <selection pane="bottomLeft" activeCell="AV27" sqref="AV27"/>
      <selection pane="bottomRight" activeCell="H39" sqref="H39"/>
    </sheetView>
  </sheetViews>
  <sheetFormatPr defaultColWidth="11" defaultRowHeight="13.5" x14ac:dyDescent="0.25"/>
  <cols>
    <col min="1" max="1" width="10.53515625" style="7" customWidth="1"/>
    <col min="2" max="2" width="56.15234375" style="7" customWidth="1"/>
    <col min="3" max="49" width="11" style="7"/>
    <col min="50" max="50" width="15" style="7" bestFit="1" customWidth="1"/>
    <col min="51" max="16384" width="11" style="7"/>
  </cols>
  <sheetData>
    <row r="1" spans="1:56" s="2" customFormat="1" ht="18" thickBot="1" x14ac:dyDescent="0.4">
      <c r="A1" s="1" t="s">
        <v>24</v>
      </c>
      <c r="B1" s="1"/>
      <c r="C1" s="1"/>
      <c r="D1" s="1"/>
      <c r="E1" s="1"/>
    </row>
    <row r="2" spans="1:56" s="4" customFormat="1" ht="14" thickTop="1" x14ac:dyDescent="0.25">
      <c r="B2" s="5" t="s">
        <v>1</v>
      </c>
      <c r="C2" s="4">
        <v>1960</v>
      </c>
      <c r="D2" s="4">
        <v>1961</v>
      </c>
      <c r="E2" s="4">
        <v>1962</v>
      </c>
      <c r="F2" s="4">
        <v>1963</v>
      </c>
      <c r="G2" s="4">
        <v>1964</v>
      </c>
      <c r="H2" s="4">
        <v>1965</v>
      </c>
      <c r="I2" s="4">
        <v>1966</v>
      </c>
      <c r="J2" s="4">
        <v>1967</v>
      </c>
      <c r="K2" s="4">
        <v>1968</v>
      </c>
      <c r="L2" s="4">
        <v>1969</v>
      </c>
      <c r="M2" s="4">
        <v>1970</v>
      </c>
      <c r="N2" s="4">
        <v>1971</v>
      </c>
      <c r="O2" s="4">
        <v>1972</v>
      </c>
      <c r="P2" s="4">
        <v>1973</v>
      </c>
      <c r="Q2" s="4">
        <v>1974</v>
      </c>
      <c r="R2" s="4">
        <v>1975</v>
      </c>
      <c r="S2" s="4">
        <v>1976</v>
      </c>
      <c r="T2" s="4">
        <v>1977</v>
      </c>
      <c r="U2" s="4">
        <v>1978</v>
      </c>
      <c r="V2" s="4">
        <v>1979</v>
      </c>
      <c r="W2" s="4">
        <v>1980</v>
      </c>
      <c r="X2" s="4">
        <v>1981</v>
      </c>
      <c r="Y2" s="4">
        <v>1982</v>
      </c>
      <c r="Z2" s="4">
        <v>1983</v>
      </c>
      <c r="AA2" s="4">
        <v>1984</v>
      </c>
      <c r="AB2" s="4">
        <v>1985</v>
      </c>
      <c r="AC2" s="4">
        <v>1986</v>
      </c>
      <c r="AD2" s="4">
        <v>1987</v>
      </c>
      <c r="AE2" s="4">
        <v>1988</v>
      </c>
      <c r="AF2" s="4">
        <v>1989</v>
      </c>
      <c r="AG2" s="4">
        <v>1990</v>
      </c>
      <c r="AH2" s="4">
        <v>1991</v>
      </c>
      <c r="AI2" s="4">
        <v>1992</v>
      </c>
      <c r="AJ2" s="4">
        <v>1993</v>
      </c>
      <c r="AK2" s="4">
        <v>1994</v>
      </c>
      <c r="AL2" s="4">
        <v>1995</v>
      </c>
      <c r="AM2" s="4">
        <v>1996</v>
      </c>
      <c r="AN2" s="4">
        <v>1997</v>
      </c>
      <c r="AO2" s="4">
        <v>1998</v>
      </c>
      <c r="AP2" s="4">
        <v>1999</v>
      </c>
      <c r="AQ2" s="4">
        <v>2000</v>
      </c>
      <c r="AR2" s="4">
        <v>2001</v>
      </c>
      <c r="AS2" s="4">
        <v>2002</v>
      </c>
      <c r="AT2" s="4">
        <v>2003</v>
      </c>
      <c r="AU2" s="4">
        <v>2004</v>
      </c>
      <c r="AV2" s="4">
        <v>2005</v>
      </c>
      <c r="AW2" s="4">
        <v>2006</v>
      </c>
      <c r="AX2" s="4">
        <v>2007</v>
      </c>
      <c r="AY2" s="4">
        <v>2008</v>
      </c>
      <c r="AZ2" s="4">
        <v>2009</v>
      </c>
      <c r="BA2" s="4">
        <v>2010</v>
      </c>
      <c r="BB2" s="4">
        <v>2011</v>
      </c>
      <c r="BC2" s="4">
        <v>2012</v>
      </c>
      <c r="BD2" s="4">
        <v>2013</v>
      </c>
    </row>
    <row r="3" spans="1:56" x14ac:dyDescent="0.25">
      <c r="A3" s="7">
        <v>1</v>
      </c>
      <c r="B3" s="7" t="s">
        <v>25</v>
      </c>
      <c r="C3" s="7">
        <v>1.305920496016469</v>
      </c>
      <c r="D3" s="7">
        <v>1.3372625879208642</v>
      </c>
      <c r="E3" s="7">
        <v>1.3693568900309652</v>
      </c>
      <c r="F3" s="7">
        <v>1.4022214553917083</v>
      </c>
      <c r="G3" s="7">
        <v>1.4358747703211094</v>
      </c>
      <c r="H3" s="7">
        <v>1.470335764808816</v>
      </c>
      <c r="I3" s="7">
        <v>1.5056238231642278</v>
      </c>
      <c r="J3" s="7">
        <v>1.5417587949201694</v>
      </c>
      <c r="K3" s="7">
        <v>1.5787610059982538</v>
      </c>
      <c r="L3" s="7">
        <v>1.6166512701422118</v>
      </c>
      <c r="M3" s="7">
        <v>1.6554509006256248</v>
      </c>
      <c r="N3" s="7">
        <v>1.6057873736068562</v>
      </c>
      <c r="O3" s="7">
        <v>1.5576137523986504</v>
      </c>
      <c r="P3" s="7">
        <v>1.5108853398266908</v>
      </c>
      <c r="Q3" s="7">
        <v>1.4655587796318903</v>
      </c>
      <c r="R3" s="7">
        <v>1.4215920162429336</v>
      </c>
      <c r="S3" s="7">
        <v>1.3817874397881313</v>
      </c>
      <c r="T3" s="7">
        <v>1.3419828633333291</v>
      </c>
      <c r="U3" s="7">
        <v>1.302178286878527</v>
      </c>
      <c r="V3" s="7">
        <v>1.2623737104237247</v>
      </c>
      <c r="W3" s="7">
        <v>1.2225691339689229</v>
      </c>
      <c r="X3" s="7">
        <v>0.83937582332194705</v>
      </c>
      <c r="Y3" s="7">
        <v>0.83937582332194705</v>
      </c>
      <c r="Z3" s="7">
        <v>1.2225691339689229</v>
      </c>
      <c r="AA3" s="7">
        <v>0.74813932078695278</v>
      </c>
      <c r="AB3" s="7">
        <v>0.98535422737793787</v>
      </c>
      <c r="AC3" s="7">
        <v>0.94885962636394006</v>
      </c>
      <c r="AD3" s="7">
        <v>1.0036015278849366</v>
      </c>
      <c r="AE3" s="7">
        <v>1.0765907299129318</v>
      </c>
      <c r="AF3" s="7">
        <v>0.71164471977295496</v>
      </c>
      <c r="AG3" s="7">
        <v>0.60216091673096195</v>
      </c>
      <c r="AH3" s="7">
        <v>0.98535422737793787</v>
      </c>
      <c r="AI3" s="7">
        <v>0.45618251267497123</v>
      </c>
      <c r="AJ3" s="7">
        <v>1.0036015278849368</v>
      </c>
      <c r="AK3" s="7">
        <v>0.7846339218009506</v>
      </c>
      <c r="AL3" s="7">
        <v>0.76638662129395174</v>
      </c>
      <c r="AM3" s="7">
        <v>0.60216091673096206</v>
      </c>
      <c r="AN3" s="7">
        <v>0.63865551774495977</v>
      </c>
      <c r="AO3" s="7">
        <v>0.98535422737793799</v>
      </c>
      <c r="AP3" s="7">
        <v>0.8211285228149483</v>
      </c>
      <c r="AQ3" s="7">
        <v>0.36494601013997696</v>
      </c>
      <c r="AR3" s="7">
        <v>0.52917171470296664</v>
      </c>
      <c r="AS3" s="7">
        <v>0.74813932078695278</v>
      </c>
      <c r="AT3" s="7">
        <v>0.21896760608398616</v>
      </c>
      <c r="AU3" s="7">
        <v>0.18247300506998848</v>
      </c>
      <c r="AV3" s="7">
        <v>0.51092441419596779</v>
      </c>
      <c r="AW3" s="7">
        <v>0.36494601013997696</v>
      </c>
      <c r="AX3" s="7">
        <v>0.45618251267497123</v>
      </c>
      <c r="AY3" s="7">
        <v>0.56566631571696424</v>
      </c>
      <c r="AZ3" s="7">
        <v>0.20072030557698733</v>
      </c>
      <c r="BA3" s="7">
        <f>BA12</f>
        <v>0.78463392180095048</v>
      </c>
      <c r="BB3" s="7">
        <f>BB12</f>
        <v>0.49267711368896894</v>
      </c>
      <c r="BC3" s="7">
        <f>BC12</f>
        <v>0.54741901520996539</v>
      </c>
      <c r="BD3" s="7">
        <f>BD12</f>
        <v>0.16422570456298963</v>
      </c>
    </row>
    <row r="4" spans="1:56" x14ac:dyDescent="0.25">
      <c r="A4" s="7">
        <v>2</v>
      </c>
      <c r="B4" s="7" t="s">
        <v>26</v>
      </c>
      <c r="C4" s="7">
        <v>71.567873588511176</v>
      </c>
      <c r="D4" s="7">
        <v>73.285502554635443</v>
      </c>
      <c r="E4" s="7">
        <v>75.044354615946702</v>
      </c>
      <c r="F4" s="7">
        <v>76.845419126729425</v>
      </c>
      <c r="G4" s="7">
        <v>78.689709185770937</v>
      </c>
      <c r="H4" s="7">
        <v>80.578262206229439</v>
      </c>
      <c r="I4" s="7">
        <v>82.512140499178955</v>
      </c>
      <c r="J4" s="7">
        <v>84.492431871159255</v>
      </c>
      <c r="K4" s="7">
        <v>86.520250236067085</v>
      </c>
      <c r="L4" s="7">
        <v>88.5967362417327</v>
      </c>
      <c r="M4" s="7">
        <v>90.723057911534283</v>
      </c>
      <c r="N4" s="7">
        <v>88.001366174188249</v>
      </c>
      <c r="O4" s="7">
        <v>85.361325188962596</v>
      </c>
      <c r="P4" s="7">
        <v>82.800485433293716</v>
      </c>
      <c r="Q4" s="7">
        <v>80.316470870294907</v>
      </c>
      <c r="R4" s="7">
        <v>77.906976744186053</v>
      </c>
      <c r="S4" s="7">
        <v>75.72558139534884</v>
      </c>
      <c r="T4" s="7">
        <v>73.544186046511626</v>
      </c>
      <c r="U4" s="7">
        <v>71.362790697674413</v>
      </c>
      <c r="V4" s="7">
        <v>69.181395348837199</v>
      </c>
      <c r="W4" s="7">
        <v>67</v>
      </c>
      <c r="X4" s="7">
        <v>46</v>
      </c>
      <c r="Y4" s="7">
        <v>46</v>
      </c>
      <c r="Z4" s="7">
        <v>67</v>
      </c>
      <c r="AA4" s="7">
        <v>41</v>
      </c>
      <c r="AB4" s="7">
        <v>54</v>
      </c>
      <c r="AC4" s="7">
        <v>52</v>
      </c>
      <c r="AD4" s="7">
        <v>55</v>
      </c>
      <c r="AE4" s="7">
        <v>59</v>
      </c>
      <c r="AF4" s="7">
        <v>39</v>
      </c>
      <c r="AG4" s="7">
        <v>33</v>
      </c>
      <c r="AH4" s="7">
        <v>54</v>
      </c>
      <c r="AI4" s="7">
        <v>25</v>
      </c>
      <c r="AJ4" s="7">
        <v>55</v>
      </c>
      <c r="AK4" s="7">
        <v>43</v>
      </c>
      <c r="AL4" s="7">
        <v>42</v>
      </c>
      <c r="AM4" s="7">
        <v>33</v>
      </c>
      <c r="AN4" s="7">
        <v>35</v>
      </c>
      <c r="AO4" s="7">
        <v>54</v>
      </c>
      <c r="AP4" s="7">
        <v>45</v>
      </c>
      <c r="AQ4" s="7">
        <v>20</v>
      </c>
      <c r="AR4" s="7">
        <v>29</v>
      </c>
      <c r="AS4" s="7">
        <v>41</v>
      </c>
      <c r="AT4" s="7">
        <v>12</v>
      </c>
      <c r="AU4" s="7">
        <v>10</v>
      </c>
      <c r="AV4" s="7">
        <v>28</v>
      </c>
      <c r="AW4" s="7">
        <v>20</v>
      </c>
      <c r="AX4" s="7">
        <v>25</v>
      </c>
      <c r="AY4" s="7">
        <v>31</v>
      </c>
      <c r="AZ4" s="7">
        <v>11</v>
      </c>
      <c r="BA4" s="7">
        <v>43</v>
      </c>
      <c r="BB4" s="7">
        <v>27</v>
      </c>
      <c r="BC4" s="7">
        <f>BC16</f>
        <v>30</v>
      </c>
      <c r="BD4" s="7">
        <f>BD16</f>
        <v>9</v>
      </c>
    </row>
    <row r="6" spans="1:56" x14ac:dyDescent="0.25">
      <c r="A6" s="130" t="s">
        <v>4</v>
      </c>
      <c r="B6" s="130"/>
    </row>
    <row r="7" spans="1:56" x14ac:dyDescent="0.25">
      <c r="A7" s="7">
        <v>1</v>
      </c>
      <c r="B7" s="7" t="s">
        <v>27</v>
      </c>
    </row>
    <row r="8" spans="1:56" x14ac:dyDescent="0.25">
      <c r="A8" s="7">
        <v>2</v>
      </c>
      <c r="B8" s="7" t="s">
        <v>28</v>
      </c>
    </row>
    <row r="11" spans="1:56" x14ac:dyDescent="0.25">
      <c r="A11" s="135" t="s">
        <v>7</v>
      </c>
      <c r="B11" s="135"/>
    </row>
    <row r="12" spans="1:56" s="11" customFormat="1" x14ac:dyDescent="0.25">
      <c r="A12" s="11">
        <v>1</v>
      </c>
      <c r="B12" s="11" t="s">
        <v>25</v>
      </c>
      <c r="C12" s="11">
        <f>C13/1000</f>
        <v>1.305920496016469</v>
      </c>
      <c r="D12" s="11">
        <f t="shared" ref="D12:BB12" si="0">D13/1000</f>
        <v>1.3372625879208642</v>
      </c>
      <c r="E12" s="11">
        <f t="shared" si="0"/>
        <v>1.3693568900309652</v>
      </c>
      <c r="F12" s="11">
        <f t="shared" si="0"/>
        <v>1.4022214553917083</v>
      </c>
      <c r="G12" s="11">
        <f t="shared" si="0"/>
        <v>1.4358747703211094</v>
      </c>
      <c r="H12" s="11">
        <f t="shared" si="0"/>
        <v>1.470335764808816</v>
      </c>
      <c r="I12" s="11">
        <f t="shared" si="0"/>
        <v>1.5056238231642278</v>
      </c>
      <c r="J12" s="11">
        <f t="shared" si="0"/>
        <v>1.5417587949201694</v>
      </c>
      <c r="K12" s="11">
        <f t="shared" si="0"/>
        <v>1.5787610059982538</v>
      </c>
      <c r="L12" s="11">
        <f t="shared" si="0"/>
        <v>1.6166512701422118</v>
      </c>
      <c r="M12" s="11">
        <f t="shared" si="0"/>
        <v>1.6554509006256248</v>
      </c>
      <c r="N12" s="11">
        <f t="shared" si="0"/>
        <v>1.6057873736068562</v>
      </c>
      <c r="O12" s="11">
        <f t="shared" si="0"/>
        <v>1.5576137523986504</v>
      </c>
      <c r="P12" s="11">
        <f t="shared" si="0"/>
        <v>1.5108853398266908</v>
      </c>
      <c r="Q12" s="11">
        <f t="shared" si="0"/>
        <v>1.4655587796318903</v>
      </c>
      <c r="R12" s="11">
        <f t="shared" si="0"/>
        <v>1.4215920162429336</v>
      </c>
      <c r="S12" s="11">
        <f t="shared" si="0"/>
        <v>1.3817874397881313</v>
      </c>
      <c r="T12" s="11">
        <f t="shared" si="0"/>
        <v>1.3419828633333291</v>
      </c>
      <c r="U12" s="11">
        <f t="shared" si="0"/>
        <v>1.302178286878527</v>
      </c>
      <c r="V12" s="11">
        <f t="shared" si="0"/>
        <v>1.2623737104237247</v>
      </c>
      <c r="W12" s="11">
        <f t="shared" si="0"/>
        <v>1.2225691339689229</v>
      </c>
      <c r="X12" s="11">
        <f t="shared" si="0"/>
        <v>0.83937582332194705</v>
      </c>
      <c r="Y12" s="11">
        <f t="shared" si="0"/>
        <v>0.83937582332194705</v>
      </c>
      <c r="Z12" s="11">
        <f t="shared" si="0"/>
        <v>1.2225691339689229</v>
      </c>
      <c r="AA12" s="11">
        <f t="shared" si="0"/>
        <v>0.74813932078695278</v>
      </c>
      <c r="AB12" s="11">
        <f t="shared" si="0"/>
        <v>0.98535422737793787</v>
      </c>
      <c r="AC12" s="11">
        <f t="shared" si="0"/>
        <v>0.94885962636394006</v>
      </c>
      <c r="AD12" s="11">
        <f t="shared" si="0"/>
        <v>1.0036015278849366</v>
      </c>
      <c r="AE12" s="11">
        <f t="shared" si="0"/>
        <v>1.0765907299129318</v>
      </c>
      <c r="AF12" s="11">
        <f t="shared" si="0"/>
        <v>0.71164471977295496</v>
      </c>
      <c r="AG12" s="11">
        <f t="shared" si="0"/>
        <v>0.60216091673096195</v>
      </c>
      <c r="AH12" s="11">
        <f t="shared" si="0"/>
        <v>0.98535422737793787</v>
      </c>
      <c r="AI12" s="11">
        <f t="shared" si="0"/>
        <v>0.45618251267497123</v>
      </c>
      <c r="AJ12" s="11">
        <f t="shared" si="0"/>
        <v>1.0036015278849368</v>
      </c>
      <c r="AK12" s="11">
        <f t="shared" si="0"/>
        <v>0.7846339218009506</v>
      </c>
      <c r="AL12" s="11">
        <f t="shared" si="0"/>
        <v>0.76638662129395174</v>
      </c>
      <c r="AM12" s="11">
        <f t="shared" si="0"/>
        <v>0.60216091673096206</v>
      </c>
      <c r="AN12" s="11">
        <f t="shared" si="0"/>
        <v>0.63865551774495977</v>
      </c>
      <c r="AO12" s="11">
        <f t="shared" si="0"/>
        <v>0.98535422737793799</v>
      </c>
      <c r="AP12" s="11">
        <f t="shared" si="0"/>
        <v>0.8211285228149483</v>
      </c>
      <c r="AQ12" s="11">
        <f t="shared" si="0"/>
        <v>0.36494601013997696</v>
      </c>
      <c r="AR12" s="11">
        <f t="shared" si="0"/>
        <v>0.52917171470296664</v>
      </c>
      <c r="AS12" s="11">
        <f t="shared" si="0"/>
        <v>0.74813932078695278</v>
      </c>
      <c r="AT12" s="11">
        <f t="shared" si="0"/>
        <v>0.21896760608398616</v>
      </c>
      <c r="AU12" s="11">
        <f t="shared" si="0"/>
        <v>0.18247300506998848</v>
      </c>
      <c r="AV12" s="11">
        <f t="shared" si="0"/>
        <v>0.51092441419596779</v>
      </c>
      <c r="AW12" s="11">
        <f t="shared" si="0"/>
        <v>0.36494601013997696</v>
      </c>
      <c r="AX12" s="11">
        <f t="shared" si="0"/>
        <v>0.45618251267497123</v>
      </c>
      <c r="AY12" s="11">
        <f t="shared" si="0"/>
        <v>0.56566631571696424</v>
      </c>
      <c r="AZ12" s="11">
        <f t="shared" si="0"/>
        <v>0.20072030557698733</v>
      </c>
      <c r="BA12" s="11">
        <f t="shared" si="0"/>
        <v>0.78463392180095048</v>
      </c>
      <c r="BB12" s="11">
        <f t="shared" si="0"/>
        <v>0.49267711368896894</v>
      </c>
      <c r="BC12" s="11">
        <f>BC13/1000</f>
        <v>0.54741901520996539</v>
      </c>
      <c r="BD12" s="11">
        <f>BD13/1000</f>
        <v>0.16422570456298963</v>
      </c>
    </row>
    <row r="13" spans="1:56" s="12" customFormat="1" x14ac:dyDescent="0.25">
      <c r="A13" s="12">
        <v>2</v>
      </c>
      <c r="B13" s="12" t="s">
        <v>29</v>
      </c>
      <c r="C13" s="12">
        <f t="shared" ref="C13:K13" si="1">D13*(C16/D16)</f>
        <v>1305.9204960164691</v>
      </c>
      <c r="D13" s="12">
        <f t="shared" si="1"/>
        <v>1337.2625879208642</v>
      </c>
      <c r="E13" s="12">
        <f t="shared" si="1"/>
        <v>1369.3568900309651</v>
      </c>
      <c r="F13" s="12">
        <f t="shared" si="1"/>
        <v>1402.2214553917083</v>
      </c>
      <c r="G13" s="12">
        <f t="shared" si="1"/>
        <v>1435.8747703211095</v>
      </c>
      <c r="H13" s="12">
        <f t="shared" si="1"/>
        <v>1470.3357648088161</v>
      </c>
      <c r="I13" s="12">
        <f t="shared" si="1"/>
        <v>1505.6238231642278</v>
      </c>
      <c r="J13" s="12">
        <f t="shared" si="1"/>
        <v>1541.7587949201695</v>
      </c>
      <c r="K13" s="12">
        <f t="shared" si="1"/>
        <v>1578.7610059982537</v>
      </c>
      <c r="L13" s="12">
        <f>M13*(L16/M16)</f>
        <v>1616.6512701422118</v>
      </c>
      <c r="M13" s="12">
        <f>AY20+AY21+AY22</f>
        <v>1655.4509006256249</v>
      </c>
      <c r="N13" s="12">
        <f>M13*(N16/M16)</f>
        <v>1605.7873736068561</v>
      </c>
      <c r="O13" s="12">
        <f>N13*(O16/N16)</f>
        <v>1557.6137523986504</v>
      </c>
      <c r="P13" s="12">
        <f t="shared" ref="P13:BB13" si="2">O13*(P16/O16)</f>
        <v>1510.8853398266908</v>
      </c>
      <c r="Q13" s="12">
        <f t="shared" si="2"/>
        <v>1465.5587796318903</v>
      </c>
      <c r="R13" s="12">
        <f t="shared" si="2"/>
        <v>1421.5920162429336</v>
      </c>
      <c r="S13" s="12">
        <f t="shared" si="2"/>
        <v>1381.7874397881315</v>
      </c>
      <c r="T13" s="12">
        <f t="shared" si="2"/>
        <v>1341.9828633333291</v>
      </c>
      <c r="U13" s="12">
        <f t="shared" si="2"/>
        <v>1302.1782868785269</v>
      </c>
      <c r="V13" s="12">
        <f t="shared" si="2"/>
        <v>1262.3737104237248</v>
      </c>
      <c r="W13" s="12">
        <f t="shared" si="2"/>
        <v>1222.5691339689229</v>
      </c>
      <c r="X13" s="12">
        <f t="shared" si="2"/>
        <v>839.375823321947</v>
      </c>
      <c r="Y13" s="12">
        <f t="shared" si="2"/>
        <v>839.375823321947</v>
      </c>
      <c r="Z13" s="12">
        <f t="shared" si="2"/>
        <v>1222.5691339689229</v>
      </c>
      <c r="AA13" s="12">
        <f t="shared" si="2"/>
        <v>748.13932078695279</v>
      </c>
      <c r="AB13" s="12">
        <f t="shared" si="2"/>
        <v>985.35422737793783</v>
      </c>
      <c r="AC13" s="12">
        <f t="shared" si="2"/>
        <v>948.85962636394004</v>
      </c>
      <c r="AD13" s="12">
        <f t="shared" si="2"/>
        <v>1003.6015278849366</v>
      </c>
      <c r="AE13" s="12">
        <f t="shared" si="2"/>
        <v>1076.5907299129319</v>
      </c>
      <c r="AF13" s="12">
        <f t="shared" si="2"/>
        <v>711.644719772955</v>
      </c>
      <c r="AG13" s="12">
        <f t="shared" si="2"/>
        <v>602.16091673096196</v>
      </c>
      <c r="AH13" s="12">
        <f t="shared" si="2"/>
        <v>985.35422737793783</v>
      </c>
      <c r="AI13" s="12">
        <f t="shared" si="2"/>
        <v>456.18251267497124</v>
      </c>
      <c r="AJ13" s="12">
        <f t="shared" si="2"/>
        <v>1003.6015278849368</v>
      </c>
      <c r="AK13" s="12">
        <f t="shared" si="2"/>
        <v>784.63392180095059</v>
      </c>
      <c r="AL13" s="12">
        <f t="shared" si="2"/>
        <v>766.38662129395175</v>
      </c>
      <c r="AM13" s="12">
        <f t="shared" si="2"/>
        <v>602.16091673096207</v>
      </c>
      <c r="AN13" s="12">
        <f t="shared" si="2"/>
        <v>638.65551774495975</v>
      </c>
      <c r="AO13" s="12">
        <f t="shared" si="2"/>
        <v>985.35422737793795</v>
      </c>
      <c r="AP13" s="12">
        <f t="shared" si="2"/>
        <v>821.12852281494827</v>
      </c>
      <c r="AQ13" s="12">
        <f t="shared" si="2"/>
        <v>364.94601013997698</v>
      </c>
      <c r="AR13" s="12">
        <f t="shared" si="2"/>
        <v>529.1717147029666</v>
      </c>
      <c r="AS13" s="12">
        <f t="shared" si="2"/>
        <v>748.13932078695279</v>
      </c>
      <c r="AT13" s="12">
        <f t="shared" si="2"/>
        <v>218.96760608398617</v>
      </c>
      <c r="AU13" s="12">
        <f t="shared" si="2"/>
        <v>182.47300506998849</v>
      </c>
      <c r="AV13" s="12">
        <f t="shared" si="2"/>
        <v>510.92441419596776</v>
      </c>
      <c r="AW13" s="12">
        <f t="shared" si="2"/>
        <v>364.94601013997698</v>
      </c>
      <c r="AX13" s="12">
        <f t="shared" si="2"/>
        <v>456.18251267497124</v>
      </c>
      <c r="AY13" s="12">
        <f t="shared" si="2"/>
        <v>565.66631571696428</v>
      </c>
      <c r="AZ13" s="12">
        <f t="shared" si="2"/>
        <v>200.72030557698733</v>
      </c>
      <c r="BA13" s="12">
        <f t="shared" si="2"/>
        <v>784.63392180095047</v>
      </c>
      <c r="BB13" s="12">
        <f t="shared" si="2"/>
        <v>492.67711368896892</v>
      </c>
      <c r="BC13" s="12">
        <f>BB13*(BC16/BB16)</f>
        <v>547.41901520996544</v>
      </c>
      <c r="BD13" s="12">
        <f>BC13*(BD16/BC16)</f>
        <v>164.22570456298962</v>
      </c>
    </row>
    <row r="14" spans="1:56" s="12" customFormat="1" x14ac:dyDescent="0.25">
      <c r="A14" s="12">
        <v>3</v>
      </c>
      <c r="B14" s="12" t="s">
        <v>30</v>
      </c>
      <c r="W14" s="12">
        <v>67</v>
      </c>
      <c r="X14" s="12">
        <v>46</v>
      </c>
      <c r="Y14" s="12">
        <v>46</v>
      </c>
      <c r="Z14" s="12">
        <v>67</v>
      </c>
      <c r="AA14" s="12">
        <v>41</v>
      </c>
      <c r="AB14" s="12">
        <v>54</v>
      </c>
      <c r="AC14" s="12">
        <v>52</v>
      </c>
      <c r="AD14" s="12">
        <v>55</v>
      </c>
      <c r="AE14" s="12">
        <v>59</v>
      </c>
      <c r="AF14" s="12">
        <v>39</v>
      </c>
      <c r="AG14" s="12">
        <v>33</v>
      </c>
      <c r="AH14" s="12">
        <v>54</v>
      </c>
      <c r="AI14" s="12">
        <v>25</v>
      </c>
      <c r="AJ14" s="12">
        <v>55</v>
      </c>
      <c r="AK14" s="12">
        <v>43</v>
      </c>
      <c r="AL14" s="12">
        <v>42</v>
      </c>
      <c r="AM14" s="12">
        <v>33</v>
      </c>
      <c r="AN14" s="12">
        <v>35</v>
      </c>
      <c r="AO14" s="12">
        <v>54</v>
      </c>
      <c r="AP14" s="12">
        <v>45</v>
      </c>
      <c r="AQ14" s="12">
        <v>20</v>
      </c>
      <c r="AR14" s="12">
        <v>29</v>
      </c>
      <c r="AS14" s="12">
        <v>41</v>
      </c>
      <c r="AT14" s="12">
        <v>12</v>
      </c>
      <c r="AU14" s="12">
        <v>10</v>
      </c>
      <c r="AV14" s="12">
        <v>28</v>
      </c>
      <c r="AW14" s="12">
        <v>20</v>
      </c>
      <c r="AX14" s="12">
        <v>25</v>
      </c>
      <c r="AY14" s="12">
        <v>31</v>
      </c>
      <c r="AZ14" s="12">
        <v>11</v>
      </c>
      <c r="BA14" s="12">
        <v>43</v>
      </c>
      <c r="BB14" s="12">
        <v>27</v>
      </c>
      <c r="BC14" s="12">
        <v>30</v>
      </c>
      <c r="BD14" s="12">
        <v>9</v>
      </c>
    </row>
    <row r="15" spans="1:56" s="12" customFormat="1" x14ac:dyDescent="0.25">
      <c r="A15" s="12">
        <v>4</v>
      </c>
      <c r="B15" s="12" t="s">
        <v>31</v>
      </c>
      <c r="C15" s="12">
        <f t="shared" ref="C15:J15" si="3">D15/1.024</f>
        <v>71.567873588511176</v>
      </c>
      <c r="D15" s="12">
        <f t="shared" si="3"/>
        <v>73.285502554635443</v>
      </c>
      <c r="E15" s="12">
        <f t="shared" si="3"/>
        <v>75.044354615946702</v>
      </c>
      <c r="F15" s="12">
        <f t="shared" si="3"/>
        <v>76.845419126729425</v>
      </c>
      <c r="G15" s="12">
        <f t="shared" si="3"/>
        <v>78.689709185770937</v>
      </c>
      <c r="H15" s="12">
        <f t="shared" si="3"/>
        <v>80.578262206229439</v>
      </c>
      <c r="I15" s="12">
        <f t="shared" si="3"/>
        <v>82.512140499178955</v>
      </c>
      <c r="J15" s="12">
        <f t="shared" si="3"/>
        <v>84.492431871159255</v>
      </c>
      <c r="K15" s="12">
        <f>L15/1.024</f>
        <v>86.520250236067085</v>
      </c>
      <c r="L15" s="12">
        <f>M15/1.024</f>
        <v>88.5967362417327</v>
      </c>
      <c r="M15" s="12">
        <f>N15/0.97</f>
        <v>90.723057911534283</v>
      </c>
      <c r="N15" s="12">
        <f>O15/0.97</f>
        <v>88.001366174188249</v>
      </c>
      <c r="O15" s="12">
        <f>P15/0.97</f>
        <v>85.361325188962596</v>
      </c>
      <c r="P15" s="12">
        <f>Q15/0.97</f>
        <v>82.800485433293716</v>
      </c>
      <c r="Q15" s="12">
        <f>R15/0.97</f>
        <v>80.316470870294907</v>
      </c>
      <c r="R15" s="12">
        <f>W14/0.86</f>
        <v>77.906976744186053</v>
      </c>
      <c r="S15" s="12">
        <f>R15-($R15-$W14)/5</f>
        <v>75.72558139534884</v>
      </c>
      <c r="T15" s="12">
        <f>S15-($R15-$W14)/5</f>
        <v>73.544186046511626</v>
      </c>
      <c r="U15" s="12">
        <f>T15-($R15-$W14)/5</f>
        <v>71.362790697674413</v>
      </c>
      <c r="V15" s="12">
        <f>U15-($R15-$W14)/5</f>
        <v>69.181395348837199</v>
      </c>
    </row>
    <row r="16" spans="1:56" s="11" customFormat="1" x14ac:dyDescent="0.25">
      <c r="A16" s="11">
        <v>5</v>
      </c>
      <c r="B16" s="11" t="s">
        <v>32</v>
      </c>
      <c r="C16" s="11">
        <v>71.567873588511176</v>
      </c>
      <c r="D16" s="11">
        <v>73.285502554635443</v>
      </c>
      <c r="E16" s="11">
        <v>75.044354615946702</v>
      </c>
      <c r="F16" s="11">
        <v>76.845419126729425</v>
      </c>
      <c r="G16" s="11">
        <v>78.689709185770937</v>
      </c>
      <c r="H16" s="11">
        <v>80.578262206229439</v>
      </c>
      <c r="I16" s="11">
        <v>82.512140499178955</v>
      </c>
      <c r="J16" s="11">
        <v>84.492431871159255</v>
      </c>
      <c r="K16" s="11">
        <v>86.520250236067085</v>
      </c>
      <c r="L16" s="11">
        <v>88.5967362417327</v>
      </c>
      <c r="M16" s="11">
        <v>90.723057911534283</v>
      </c>
      <c r="N16" s="11">
        <v>88.001366174188249</v>
      </c>
      <c r="O16" s="11">
        <v>85.361325188962596</v>
      </c>
      <c r="P16" s="11">
        <v>82.800485433293716</v>
      </c>
      <c r="Q16" s="11">
        <v>80.316470870294907</v>
      </c>
      <c r="R16" s="11">
        <v>77.906976744186053</v>
      </c>
      <c r="S16" s="11">
        <v>75.72558139534884</v>
      </c>
      <c r="T16" s="11">
        <v>73.544186046511626</v>
      </c>
      <c r="U16" s="11">
        <v>71.362790697674413</v>
      </c>
      <c r="V16" s="11">
        <v>69.181395348837199</v>
      </c>
      <c r="W16" s="11">
        <v>67</v>
      </c>
      <c r="X16" s="11">
        <v>46</v>
      </c>
      <c r="Y16" s="11">
        <v>46</v>
      </c>
      <c r="Z16" s="11">
        <v>67</v>
      </c>
      <c r="AA16" s="11">
        <v>41</v>
      </c>
      <c r="AB16" s="11">
        <v>54</v>
      </c>
      <c r="AC16" s="11">
        <v>52</v>
      </c>
      <c r="AD16" s="11">
        <v>55</v>
      </c>
      <c r="AE16" s="11">
        <v>59</v>
      </c>
      <c r="AF16" s="11">
        <v>39</v>
      </c>
      <c r="AG16" s="11">
        <v>33</v>
      </c>
      <c r="AH16" s="11">
        <v>54</v>
      </c>
      <c r="AI16" s="11">
        <v>25</v>
      </c>
      <c r="AJ16" s="11">
        <v>55</v>
      </c>
      <c r="AK16" s="11">
        <v>43</v>
      </c>
      <c r="AL16" s="11">
        <v>42</v>
      </c>
      <c r="AM16" s="11">
        <v>33</v>
      </c>
      <c r="AN16" s="11">
        <v>35</v>
      </c>
      <c r="AO16" s="11">
        <v>54</v>
      </c>
      <c r="AP16" s="11">
        <v>45</v>
      </c>
      <c r="AQ16" s="11">
        <v>20</v>
      </c>
      <c r="AR16" s="11">
        <v>29</v>
      </c>
      <c r="AS16" s="11">
        <v>41</v>
      </c>
      <c r="AT16" s="11">
        <v>12</v>
      </c>
      <c r="AU16" s="11">
        <v>10</v>
      </c>
      <c r="AV16" s="11">
        <v>28</v>
      </c>
      <c r="AW16" s="11">
        <v>20</v>
      </c>
      <c r="AX16" s="11">
        <v>25</v>
      </c>
      <c r="AY16" s="11">
        <v>31</v>
      </c>
      <c r="AZ16" s="11">
        <v>11</v>
      </c>
      <c r="BA16" s="11">
        <v>43</v>
      </c>
      <c r="BB16" s="11">
        <v>27</v>
      </c>
      <c r="BC16" s="11">
        <v>30</v>
      </c>
      <c r="BD16" s="11">
        <v>9</v>
      </c>
    </row>
    <row r="17" spans="1:51" s="12" customFormat="1" x14ac:dyDescent="0.25">
      <c r="A17" s="12">
        <v>6</v>
      </c>
      <c r="B17" s="12" t="s">
        <v>33</v>
      </c>
      <c r="AY17" s="12">
        <f>2401.428571/747000</f>
        <v>3.2147638165997321E-3</v>
      </c>
    </row>
    <row r="18" spans="1:51" s="12" customFormat="1" x14ac:dyDescent="0.25">
      <c r="A18" s="12">
        <v>7</v>
      </c>
      <c r="B18" s="12" t="s">
        <v>34</v>
      </c>
      <c r="AY18" s="12">
        <v>1.9872818057611019E-6</v>
      </c>
    </row>
    <row r="19" spans="1:51" s="12" customFormat="1" x14ac:dyDescent="0.25">
      <c r="A19" s="12">
        <v>8</v>
      </c>
      <c r="B19" s="12" t="s">
        <v>35</v>
      </c>
      <c r="AY19" s="12">
        <v>1.8529298590076269E-2</v>
      </c>
    </row>
    <row r="20" spans="1:51" s="12" customFormat="1" x14ac:dyDescent="0.25">
      <c r="A20" s="12">
        <v>9</v>
      </c>
      <c r="B20" s="12" t="s">
        <v>36</v>
      </c>
      <c r="AY20" s="12">
        <f>14.74*AY18*1000</f>
        <v>2.9292533816918639E-2</v>
      </c>
    </row>
    <row r="21" spans="1:51" s="12" customFormat="1" x14ac:dyDescent="0.25">
      <c r="A21" s="12">
        <v>10</v>
      </c>
      <c r="B21" s="12" t="s">
        <v>37</v>
      </c>
      <c r="AY21" s="12">
        <f>88.39*AY19*1000</f>
        <v>1637.8047023768413</v>
      </c>
    </row>
    <row r="22" spans="1:51" s="12" customFormat="1" x14ac:dyDescent="0.25">
      <c r="A22" s="12">
        <v>11</v>
      </c>
      <c r="B22" s="12" t="s">
        <v>38</v>
      </c>
      <c r="AY22" s="12">
        <f>5.48*AY17*1000</f>
        <v>17.616905714966531</v>
      </c>
    </row>
    <row r="25" spans="1:51" x14ac:dyDescent="0.25">
      <c r="A25" s="130" t="s">
        <v>11</v>
      </c>
      <c r="B25" s="130"/>
    </row>
    <row r="26" spans="1:51" x14ac:dyDescent="0.25">
      <c r="A26" s="17">
        <v>1</v>
      </c>
      <c r="B26" s="7" t="s">
        <v>39</v>
      </c>
    </row>
    <row r="27" spans="1:51" x14ac:dyDescent="0.25">
      <c r="A27" s="17">
        <v>2</v>
      </c>
      <c r="B27" s="7" t="s">
        <v>40</v>
      </c>
    </row>
    <row r="28" spans="1:51" x14ac:dyDescent="0.25">
      <c r="A28" s="17">
        <v>3</v>
      </c>
      <c r="B28" s="7" t="s">
        <v>41</v>
      </c>
    </row>
    <row r="29" spans="1:51" x14ac:dyDescent="0.25">
      <c r="A29" s="17">
        <v>4</v>
      </c>
      <c r="B29" s="7" t="s">
        <v>42</v>
      </c>
    </row>
    <row r="30" spans="1:51" x14ac:dyDescent="0.25">
      <c r="A30" s="17">
        <v>5</v>
      </c>
      <c r="B30" s="7" t="s">
        <v>43</v>
      </c>
    </row>
    <row r="31" spans="1:51" x14ac:dyDescent="0.25">
      <c r="A31" s="18" t="s">
        <v>44</v>
      </c>
      <c r="B31" s="7" t="s">
        <v>45</v>
      </c>
    </row>
    <row r="32" spans="1:51" x14ac:dyDescent="0.25">
      <c r="A32" s="18" t="s">
        <v>46</v>
      </c>
      <c r="B32" s="7" t="s">
        <v>47</v>
      </c>
    </row>
    <row r="34" spans="1:11" ht="14" x14ac:dyDescent="0.3">
      <c r="A34" s="135" t="s">
        <v>16</v>
      </c>
      <c r="B34" s="136"/>
    </row>
    <row r="35" spans="1:11" ht="42" customHeight="1" x14ac:dyDescent="0.3">
      <c r="A35" s="133" t="s">
        <v>48</v>
      </c>
      <c r="B35" s="138"/>
      <c r="C35" s="138"/>
      <c r="D35" s="138"/>
      <c r="E35" s="138"/>
      <c r="F35" s="138"/>
      <c r="G35" s="139"/>
      <c r="H35" s="133"/>
      <c r="I35" s="133"/>
      <c r="J35" s="19"/>
      <c r="K35" s="19"/>
    </row>
    <row r="38" spans="1:11" ht="14" x14ac:dyDescent="0.3">
      <c r="A38" s="135" t="s">
        <v>18</v>
      </c>
      <c r="B38" s="136"/>
    </row>
    <row r="39" spans="1:11" ht="334.5" customHeight="1" x14ac:dyDescent="0.25">
      <c r="A39" s="137" t="s">
        <v>49</v>
      </c>
      <c r="B39" s="137"/>
      <c r="C39" s="137"/>
      <c r="D39" s="137"/>
      <c r="E39" s="137"/>
      <c r="F39" s="137"/>
      <c r="G39" s="15"/>
      <c r="H39" s="15"/>
      <c r="I39" s="15"/>
      <c r="J39" s="15"/>
      <c r="K39" s="15"/>
    </row>
    <row r="42" spans="1:11" ht="14" x14ac:dyDescent="0.3">
      <c r="A42" s="135" t="s">
        <v>21</v>
      </c>
      <c r="B42" s="136"/>
    </row>
    <row r="43" spans="1:11" ht="78" customHeight="1" x14ac:dyDescent="0.25">
      <c r="A43" s="129"/>
      <c r="B43" s="132"/>
      <c r="C43" s="132"/>
      <c r="D43" s="132"/>
      <c r="E43" s="132"/>
      <c r="F43" s="132"/>
      <c r="G43" s="132"/>
      <c r="H43" s="132"/>
      <c r="I43" s="132"/>
      <c r="J43" s="132"/>
      <c r="K43" s="132"/>
    </row>
    <row r="45" spans="1:11" ht="14" x14ac:dyDescent="0.3">
      <c r="A45" s="135" t="s">
        <v>22</v>
      </c>
      <c r="B45" s="136"/>
    </row>
    <row r="46" spans="1:11" ht="110" customHeight="1" x14ac:dyDescent="0.25">
      <c r="A46" s="129"/>
      <c r="B46" s="129"/>
      <c r="C46" s="129"/>
      <c r="D46" s="129"/>
      <c r="E46" s="129"/>
      <c r="F46" s="129"/>
      <c r="G46" s="129"/>
      <c r="H46" s="129"/>
      <c r="I46" s="129"/>
      <c r="J46" s="129"/>
      <c r="K46" s="129"/>
    </row>
    <row r="47" spans="1:11" customFormat="1" x14ac:dyDescent="0.3"/>
    <row r="48" spans="1:11" customFormat="1" x14ac:dyDescent="0.3"/>
    <row r="49" spans="1:1" customFormat="1" x14ac:dyDescent="0.3"/>
    <row r="50" spans="1:1" customFormat="1" ht="162.75" customHeight="1" x14ac:dyDescent="0.3"/>
    <row r="53" spans="1:1" ht="15.75" customHeight="1" x14ac:dyDescent="0.25">
      <c r="A53" s="20"/>
    </row>
  </sheetData>
  <mergeCells count="12">
    <mergeCell ref="A46:K46"/>
    <mergeCell ref="A6:B6"/>
    <mergeCell ref="A11:B11"/>
    <mergeCell ref="A25:B25"/>
    <mergeCell ref="A34:B34"/>
    <mergeCell ref="A35:F35"/>
    <mergeCell ref="G35:I35"/>
    <mergeCell ref="A38:B38"/>
    <mergeCell ref="A39:F39"/>
    <mergeCell ref="A42:B42"/>
    <mergeCell ref="A43:K43"/>
    <mergeCell ref="A45:B45"/>
  </mergeCells>
  <pageMargins left="0.75000000000000011" right="0.75000000000000011" top="1" bottom="1" header="0.5" footer="0.5"/>
  <pageSetup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6"/>
  <sheetViews>
    <sheetView zoomScale="80" zoomScaleNormal="80" workbookViewId="0">
      <pane xSplit="2" ySplit="13" topLeftCell="AZ32" activePane="bottomRight" state="frozen"/>
      <selection activeCell="AV27" sqref="AV27"/>
      <selection pane="topRight" activeCell="AV27" sqref="AV27"/>
      <selection pane="bottomLeft" activeCell="AV27" sqref="AV27"/>
      <selection pane="bottomRight" activeCell="AZ32" sqref="AZ32"/>
    </sheetView>
  </sheetViews>
  <sheetFormatPr defaultColWidth="11" defaultRowHeight="13.5" x14ac:dyDescent="0.25"/>
  <cols>
    <col min="1" max="1" width="10.53515625" style="7" customWidth="1"/>
    <col min="2" max="2" width="50.53515625" style="7" customWidth="1"/>
    <col min="3" max="55" width="14.53515625" style="7" customWidth="1"/>
    <col min="56" max="16384" width="11" style="7"/>
  </cols>
  <sheetData>
    <row r="1" spans="1:56" s="2" customFormat="1" ht="18" thickBot="1" x14ac:dyDescent="0.4">
      <c r="A1" s="1" t="s">
        <v>50</v>
      </c>
      <c r="B1" s="1"/>
      <c r="C1" s="1"/>
      <c r="D1" s="1"/>
      <c r="E1" s="1"/>
      <c r="F1" s="1"/>
    </row>
    <row r="2" spans="1:56" s="4" customFormat="1" ht="14" thickTop="1" x14ac:dyDescent="0.25">
      <c r="B2" s="4" t="s">
        <v>51</v>
      </c>
      <c r="C2" s="4">
        <v>1960</v>
      </c>
      <c r="D2" s="4">
        <v>1961</v>
      </c>
      <c r="E2" s="4">
        <v>1962</v>
      </c>
      <c r="F2" s="4">
        <v>1963</v>
      </c>
      <c r="G2" s="4">
        <v>1964</v>
      </c>
      <c r="H2" s="4">
        <v>1965</v>
      </c>
      <c r="I2" s="4">
        <v>1966</v>
      </c>
      <c r="J2" s="4">
        <v>1967</v>
      </c>
      <c r="K2" s="4">
        <v>1968</v>
      </c>
      <c r="L2" s="4">
        <v>1969</v>
      </c>
      <c r="M2" s="4">
        <v>1970</v>
      </c>
      <c r="N2" s="4">
        <v>1971</v>
      </c>
      <c r="O2" s="4">
        <v>1972</v>
      </c>
      <c r="P2" s="4">
        <v>1973</v>
      </c>
      <c r="Q2" s="4">
        <v>1974</v>
      </c>
      <c r="R2" s="4">
        <v>1975</v>
      </c>
      <c r="S2" s="4">
        <v>1976</v>
      </c>
      <c r="T2" s="4">
        <v>1977</v>
      </c>
      <c r="U2" s="4">
        <v>1978</v>
      </c>
      <c r="V2" s="4">
        <v>1979</v>
      </c>
      <c r="W2" s="4">
        <v>1980</v>
      </c>
      <c r="X2" s="4">
        <v>1981</v>
      </c>
      <c r="Y2" s="4">
        <v>1982</v>
      </c>
      <c r="Z2" s="4">
        <v>1983</v>
      </c>
      <c r="AA2" s="4">
        <v>1984</v>
      </c>
      <c r="AB2" s="4">
        <v>1985</v>
      </c>
      <c r="AC2" s="4">
        <v>1986</v>
      </c>
      <c r="AD2" s="4">
        <v>1987</v>
      </c>
      <c r="AE2" s="4">
        <v>1988</v>
      </c>
      <c r="AF2" s="4">
        <v>1989</v>
      </c>
      <c r="AG2" s="4">
        <v>1990</v>
      </c>
      <c r="AH2" s="4">
        <v>1991</v>
      </c>
      <c r="AI2" s="4">
        <v>1992</v>
      </c>
      <c r="AJ2" s="4">
        <v>1993</v>
      </c>
      <c r="AK2" s="4">
        <v>1994</v>
      </c>
      <c r="AL2" s="4">
        <v>1995</v>
      </c>
      <c r="AM2" s="4">
        <v>1996</v>
      </c>
      <c r="AN2" s="4">
        <v>1997</v>
      </c>
      <c r="AO2" s="4">
        <v>1998</v>
      </c>
      <c r="AP2" s="4">
        <v>1999</v>
      </c>
      <c r="AQ2" s="4">
        <v>2000</v>
      </c>
      <c r="AR2" s="4">
        <v>2001</v>
      </c>
      <c r="AS2" s="4">
        <v>2002</v>
      </c>
      <c r="AT2" s="4">
        <v>2003</v>
      </c>
      <c r="AU2" s="4">
        <v>2004</v>
      </c>
      <c r="AV2" s="4">
        <v>2005</v>
      </c>
      <c r="AW2" s="4">
        <v>2006</v>
      </c>
      <c r="AX2" s="4">
        <v>2007</v>
      </c>
      <c r="AY2" s="4">
        <v>2008</v>
      </c>
      <c r="AZ2" s="4">
        <v>2009</v>
      </c>
      <c r="BA2" s="4">
        <v>2010</v>
      </c>
      <c r="BB2" s="4">
        <v>2011</v>
      </c>
      <c r="BC2" s="4">
        <v>2012</v>
      </c>
      <c r="BD2" s="4">
        <v>2013</v>
      </c>
    </row>
    <row r="3" spans="1:56" s="21" customFormat="1" x14ac:dyDescent="0.25">
      <c r="A3" s="9">
        <v>1</v>
      </c>
      <c r="B3" s="21" t="s">
        <v>52</v>
      </c>
      <c r="C3" s="21">
        <v>0.18450620548053806</v>
      </c>
      <c r="D3" s="21">
        <v>0.19266502514801154</v>
      </c>
      <c r="E3" s="21">
        <v>0.20104736845453375</v>
      </c>
      <c r="F3" s="21">
        <v>0.20966191321632513</v>
      </c>
      <c r="G3" s="21">
        <v>0.21851749122983749</v>
      </c>
      <c r="H3" s="21">
        <v>0.22762310223940002</v>
      </c>
      <c r="I3" s="21">
        <v>0.23698792740909203</v>
      </c>
      <c r="J3" s="21">
        <v>0.2466213423895911</v>
      </c>
      <c r="K3" s="21">
        <v>0.25653293005972511</v>
      </c>
      <c r="L3" s="21">
        <v>0.26673249301309282</v>
      </c>
      <c r="M3" s="21">
        <v>0.27723006585215199</v>
      </c>
      <c r="N3" s="21">
        <v>0.28579499518243617</v>
      </c>
      <c r="O3" s="21">
        <v>0.29461838867221996</v>
      </c>
      <c r="P3" s="21">
        <v>0.29781083361139349</v>
      </c>
      <c r="Q3" s="21">
        <v>0.30103202821717046</v>
      </c>
      <c r="R3" s="21">
        <v>0.30428236327161357</v>
      </c>
      <c r="S3" s="21">
        <v>0.30756222919272352</v>
      </c>
      <c r="T3" s="21">
        <v>0.31087201625707594</v>
      </c>
      <c r="U3" s="21">
        <v>0.31421211481032746</v>
      </c>
      <c r="V3" s="21">
        <v>0.31758291546652728</v>
      </c>
      <c r="W3" s="21">
        <v>0.32098480929709444</v>
      </c>
      <c r="X3" s="21">
        <v>0.32509751255163372</v>
      </c>
      <c r="Y3" s="21">
        <v>0.32923904505447121</v>
      </c>
      <c r="Z3" s="21">
        <v>0.33341010574694391</v>
      </c>
      <c r="AA3" s="21">
        <v>0.33761138299323479</v>
      </c>
      <c r="AB3" s="21">
        <v>0.3418435554343493</v>
      </c>
      <c r="AC3" s="21">
        <v>0.34610729278783781</v>
      </c>
      <c r="AD3" s="21">
        <v>0.35040325659749205</v>
      </c>
      <c r="AE3" s="21">
        <v>0.35473210093687707</v>
      </c>
      <c r="AF3" s="21">
        <v>0.35909447307022446</v>
      </c>
      <c r="AG3" s="21">
        <v>0.36349101407391371</v>
      </c>
      <c r="AH3" s="21">
        <v>0.36654003802772023</v>
      </c>
      <c r="AI3" s="21">
        <v>0.36963521989178222</v>
      </c>
      <c r="AJ3" s="21">
        <v>0.37277622799454946</v>
      </c>
      <c r="AK3" s="21">
        <v>0.37596278088122798</v>
      </c>
      <c r="AL3" s="21">
        <v>0.37919464330566982</v>
      </c>
      <c r="AM3" s="21">
        <v>0.38247162263375722</v>
      </c>
      <c r="AN3" s="21">
        <v>0.38579356561029993</v>
      </c>
      <c r="AO3" s="21">
        <v>0.38916035544775546</v>
      </c>
      <c r="AP3" s="21">
        <v>0.39257190920046919</v>
      </c>
      <c r="AQ3" s="21">
        <v>0.39602817539274021</v>
      </c>
      <c r="AR3" s="21">
        <v>0.39952913187297967</v>
      </c>
      <c r="AS3" s="21">
        <v>0.40307478386965329</v>
      </c>
      <c r="AT3" s="21">
        <v>0.40666516222763238</v>
      </c>
      <c r="AU3" s="21">
        <v>0.41030032180614601</v>
      </c>
      <c r="AV3" s="21">
        <v>0.41398034002173212</v>
      </c>
      <c r="AW3" s="21">
        <v>0.41770531552151258</v>
      </c>
      <c r="AX3" s="21">
        <v>0.42147536697379917</v>
      </c>
      <c r="AY3" s="21">
        <v>0.42529063196449701</v>
      </c>
      <c r="AZ3" s="21">
        <v>0.4291512659890579</v>
      </c>
      <c r="BA3" s="21">
        <f>BA14</f>
        <v>0.4330574415308594</v>
      </c>
      <c r="BB3" s="21">
        <f>BB14</f>
        <v>0.43700934721787099</v>
      </c>
      <c r="BC3" s="21">
        <f>BC14</f>
        <v>0.44100718705033892</v>
      </c>
      <c r="BD3" s="21">
        <f>BD14</f>
        <v>0.44505117969298696</v>
      </c>
    </row>
    <row r="4" spans="1:56" s="22" customFormat="1" x14ac:dyDescent="0.25">
      <c r="A4" s="9">
        <v>2</v>
      </c>
      <c r="B4" s="22" t="s">
        <v>53</v>
      </c>
      <c r="C4" s="22">
        <v>10.254173848421262</v>
      </c>
      <c r="D4" s="22">
        <v>10.561799063873901</v>
      </c>
      <c r="E4" s="22">
        <v>10.878653035790117</v>
      </c>
      <c r="F4" s="22">
        <v>11.205012626863821</v>
      </c>
      <c r="G4" s="22">
        <v>11.541163005669736</v>
      </c>
      <c r="H4" s="22">
        <v>11.887397895839829</v>
      </c>
      <c r="I4" s="22">
        <v>12.244019832715024</v>
      </c>
      <c r="J4" s="22">
        <v>12.611340427696474</v>
      </c>
      <c r="K4" s="22">
        <v>12.989680640527368</v>
      </c>
      <c r="L4" s="22">
        <v>13.379371059743189</v>
      </c>
      <c r="M4" s="22">
        <v>13.780752191535486</v>
      </c>
      <c r="N4" s="22">
        <v>14.194174757281552</v>
      </c>
      <c r="O4" s="22">
        <v>14.62</v>
      </c>
      <c r="P4" s="22">
        <v>14.7662</v>
      </c>
      <c r="Q4" s="22">
        <v>14.913862</v>
      </c>
      <c r="R4" s="22">
        <v>15.06300062</v>
      </c>
      <c r="S4" s="22">
        <v>15.213630626200001</v>
      </c>
      <c r="T4" s="22">
        <v>15.365766932462</v>
      </c>
      <c r="U4" s="22">
        <v>15.51942460178662</v>
      </c>
      <c r="V4" s="22">
        <v>15.674618847804485</v>
      </c>
      <c r="W4" s="22">
        <v>15.831365036282531</v>
      </c>
      <c r="X4" s="22">
        <v>15.989678686645355</v>
      </c>
      <c r="Y4" s="22">
        <v>16.14957547351181</v>
      </c>
      <c r="Z4" s="22">
        <v>16.311071228246927</v>
      </c>
      <c r="AA4" s="22">
        <v>16.474181940529398</v>
      </c>
      <c r="AB4" s="22">
        <v>16.638923759934691</v>
      </c>
      <c r="AC4" s="22">
        <v>16.805312997534038</v>
      </c>
      <c r="AD4" s="22">
        <v>16.973366127509379</v>
      </c>
      <c r="AE4" s="22">
        <v>17.143099788784472</v>
      </c>
      <c r="AF4" s="22">
        <v>17.314530786672318</v>
      </c>
      <c r="AG4" s="22">
        <v>17.48767609453904</v>
      </c>
      <c r="AH4" s="22">
        <v>17.662552855484432</v>
      </c>
      <c r="AI4" s="22">
        <v>17.839178384039275</v>
      </c>
      <c r="AJ4" s="22">
        <v>18.017570167879668</v>
      </c>
      <c r="AK4" s="22">
        <v>18.197745869558464</v>
      </c>
      <c r="AL4" s="22">
        <v>18.379723328254048</v>
      </c>
      <c r="AM4" s="22">
        <v>18.563520561536588</v>
      </c>
      <c r="AN4" s="22">
        <v>18.749155767151954</v>
      </c>
      <c r="AO4" s="22">
        <v>18.936647324823475</v>
      </c>
      <c r="AP4" s="22">
        <v>19.12601379807171</v>
      </c>
      <c r="AQ4" s="22">
        <v>19.317273936052427</v>
      </c>
      <c r="AR4" s="22">
        <v>19.51044667541295</v>
      </c>
      <c r="AS4" s="22">
        <v>19.705551142167081</v>
      </c>
      <c r="AT4" s="22">
        <v>19.902606653588752</v>
      </c>
      <c r="AU4" s="22">
        <v>20.101632720124638</v>
      </c>
      <c r="AV4" s="22">
        <v>20.302649047325882</v>
      </c>
      <c r="AW4" s="22">
        <v>20.505675537799142</v>
      </c>
      <c r="AX4" s="22">
        <v>20.710732293177134</v>
      </c>
      <c r="AY4" s="22">
        <v>20.917839616108907</v>
      </c>
      <c r="AZ4" s="22">
        <v>21.127018012269996</v>
      </c>
      <c r="BA4" s="22">
        <f>BA17</f>
        <v>21.338288192392696</v>
      </c>
      <c r="BB4" s="22">
        <f>BB17</f>
        <v>21.551671074316623</v>
      </c>
      <c r="BC4" s="22">
        <f>BC17</f>
        <v>21.767187785059789</v>
      </c>
      <c r="BD4" s="22">
        <f>BD17</f>
        <v>21.984859662910388</v>
      </c>
    </row>
    <row r="6" spans="1:56" x14ac:dyDescent="0.25">
      <c r="A6" s="130" t="s">
        <v>4</v>
      </c>
      <c r="B6" s="130"/>
    </row>
    <row r="7" spans="1:56" x14ac:dyDescent="0.25">
      <c r="A7" s="7">
        <v>1</v>
      </c>
      <c r="B7" s="7" t="s">
        <v>54</v>
      </c>
    </row>
    <row r="8" spans="1:56" x14ac:dyDescent="0.25">
      <c r="A8" s="7">
        <v>2</v>
      </c>
      <c r="B8" s="7" t="s">
        <v>55</v>
      </c>
    </row>
    <row r="9" spans="1:56" x14ac:dyDescent="0.25">
      <c r="A9" s="7">
        <v>3</v>
      </c>
      <c r="B9" s="7" t="s">
        <v>55</v>
      </c>
    </row>
    <row r="10" spans="1:56" x14ac:dyDescent="0.25">
      <c r="A10" s="7">
        <v>4</v>
      </c>
      <c r="B10" s="7" t="s">
        <v>56</v>
      </c>
    </row>
    <row r="13" spans="1:56" x14ac:dyDescent="0.25">
      <c r="A13" s="130" t="s">
        <v>7</v>
      </c>
      <c r="B13" s="130"/>
    </row>
    <row r="14" spans="1:56" s="11" customFormat="1" x14ac:dyDescent="0.25">
      <c r="A14" s="11">
        <v>1</v>
      </c>
      <c r="B14" s="11" t="s">
        <v>52</v>
      </c>
      <c r="C14" s="11">
        <f>C17*C16/C15</f>
        <v>0.18450620548053806</v>
      </c>
      <c r="D14" s="11">
        <f t="shared" ref="D14:BB14" si="0">D17*D16/D15</f>
        <v>0.19266502514801154</v>
      </c>
      <c r="E14" s="11">
        <f t="shared" si="0"/>
        <v>0.20104736845453375</v>
      </c>
      <c r="F14" s="11">
        <f t="shared" si="0"/>
        <v>0.20966191321632513</v>
      </c>
      <c r="G14" s="11">
        <f t="shared" si="0"/>
        <v>0.21851749122983749</v>
      </c>
      <c r="H14" s="11">
        <f t="shared" si="0"/>
        <v>0.22762310223940002</v>
      </c>
      <c r="I14" s="11">
        <f t="shared" si="0"/>
        <v>0.23698792740909203</v>
      </c>
      <c r="J14" s="11">
        <f t="shared" si="0"/>
        <v>0.2466213423895911</v>
      </c>
      <c r="K14" s="11">
        <f t="shared" si="0"/>
        <v>0.25653293005972511</v>
      </c>
      <c r="L14" s="11">
        <f t="shared" si="0"/>
        <v>0.26673249301309282</v>
      </c>
      <c r="M14" s="11">
        <f t="shared" si="0"/>
        <v>0.27723006585215199</v>
      </c>
      <c r="N14" s="11">
        <f t="shared" si="0"/>
        <v>0.28579499518243617</v>
      </c>
      <c r="O14" s="11">
        <f t="shared" si="0"/>
        <v>0.29461838867221996</v>
      </c>
      <c r="P14" s="11">
        <f t="shared" si="0"/>
        <v>0.29781083361139349</v>
      </c>
      <c r="Q14" s="11">
        <f t="shared" si="0"/>
        <v>0.30103202821717046</v>
      </c>
      <c r="R14" s="11">
        <f t="shared" si="0"/>
        <v>0.30428236327161357</v>
      </c>
      <c r="S14" s="11">
        <f t="shared" si="0"/>
        <v>0.30756222919272352</v>
      </c>
      <c r="T14" s="11">
        <f t="shared" si="0"/>
        <v>0.31087201625707594</v>
      </c>
      <c r="U14" s="11">
        <f t="shared" si="0"/>
        <v>0.31421211481032746</v>
      </c>
      <c r="V14" s="11">
        <f t="shared" si="0"/>
        <v>0.31758291546652728</v>
      </c>
      <c r="W14" s="11">
        <f t="shared" si="0"/>
        <v>0.32098480929709444</v>
      </c>
      <c r="X14" s="11">
        <f t="shared" si="0"/>
        <v>0.32509751255163372</v>
      </c>
      <c r="Y14" s="11">
        <f t="shared" si="0"/>
        <v>0.32923904505447121</v>
      </c>
      <c r="Z14" s="11">
        <f t="shared" si="0"/>
        <v>0.33341010574694391</v>
      </c>
      <c r="AA14" s="11">
        <f t="shared" si="0"/>
        <v>0.33761138299323479</v>
      </c>
      <c r="AB14" s="11">
        <f t="shared" si="0"/>
        <v>0.3418435554343493</v>
      </c>
      <c r="AC14" s="11">
        <f t="shared" si="0"/>
        <v>0.34610729278783781</v>
      </c>
      <c r="AD14" s="11">
        <f t="shared" si="0"/>
        <v>0.35040325659749205</v>
      </c>
      <c r="AE14" s="11">
        <f t="shared" si="0"/>
        <v>0.35473210093687707</v>
      </c>
      <c r="AF14" s="11">
        <f t="shared" si="0"/>
        <v>0.35909447307022446</v>
      </c>
      <c r="AG14" s="11">
        <f t="shared" si="0"/>
        <v>0.36349101407391371</v>
      </c>
      <c r="AH14" s="11">
        <f t="shared" si="0"/>
        <v>0.36654003802772023</v>
      </c>
      <c r="AI14" s="11">
        <f t="shared" si="0"/>
        <v>0.36963521989178222</v>
      </c>
      <c r="AJ14" s="11">
        <f t="shared" si="0"/>
        <v>0.37277622799454946</v>
      </c>
      <c r="AK14" s="11">
        <f t="shared" si="0"/>
        <v>0.37596278088122798</v>
      </c>
      <c r="AL14" s="11">
        <f t="shared" si="0"/>
        <v>0.37919464330566982</v>
      </c>
      <c r="AM14" s="11">
        <f t="shared" si="0"/>
        <v>0.38247162263375722</v>
      </c>
      <c r="AN14" s="11">
        <f t="shared" si="0"/>
        <v>0.38579356561029993</v>
      </c>
      <c r="AO14" s="11">
        <f t="shared" si="0"/>
        <v>0.38916035544775546</v>
      </c>
      <c r="AP14" s="11">
        <f t="shared" si="0"/>
        <v>0.39257190920046919</v>
      </c>
      <c r="AQ14" s="11">
        <f t="shared" si="0"/>
        <v>0.39602817539274021</v>
      </c>
      <c r="AR14" s="11">
        <f t="shared" si="0"/>
        <v>0.39952913187297967</v>
      </c>
      <c r="AS14" s="11">
        <f t="shared" si="0"/>
        <v>0.40307478386965329</v>
      </c>
      <c r="AT14" s="11">
        <f t="shared" si="0"/>
        <v>0.40666516222763238</v>
      </c>
      <c r="AU14" s="11">
        <f t="shared" si="0"/>
        <v>0.41030032180614601</v>
      </c>
      <c r="AV14" s="11">
        <f t="shared" si="0"/>
        <v>0.41398034002173212</v>
      </c>
      <c r="AW14" s="11">
        <f t="shared" si="0"/>
        <v>0.41770531552151258</v>
      </c>
      <c r="AX14" s="11">
        <f t="shared" si="0"/>
        <v>0.42147536697379917</v>
      </c>
      <c r="AY14" s="11">
        <f t="shared" si="0"/>
        <v>0.42529063196449701</v>
      </c>
      <c r="AZ14" s="11">
        <f t="shared" si="0"/>
        <v>0.4291512659890579</v>
      </c>
      <c r="BA14" s="11">
        <f t="shared" si="0"/>
        <v>0.4330574415308594</v>
      </c>
      <c r="BB14" s="11">
        <f t="shared" si="0"/>
        <v>0.43700934721787099</v>
      </c>
      <c r="BC14" s="11">
        <f>BC17*BC16/BC15</f>
        <v>0.44100718705033892</v>
      </c>
      <c r="BD14" s="11">
        <f>BD17*BD16/BD15</f>
        <v>0.44505117969298696</v>
      </c>
    </row>
    <row r="15" spans="1:56" s="23" customFormat="1" x14ac:dyDescent="0.25">
      <c r="A15" s="23">
        <v>2</v>
      </c>
      <c r="B15" s="23" t="s">
        <v>57</v>
      </c>
      <c r="C15" s="23">
        <v>125269</v>
      </c>
      <c r="D15" s="23">
        <f>C15+($M15-$C15)/10</f>
        <v>127674.6</v>
      </c>
      <c r="E15" s="23">
        <f t="shared" ref="E15:L16" si="1">D15+($M15-$C15)/10</f>
        <v>130080.20000000001</v>
      </c>
      <c r="F15" s="23">
        <f t="shared" si="1"/>
        <v>132485.80000000002</v>
      </c>
      <c r="G15" s="23">
        <f t="shared" si="1"/>
        <v>134891.40000000002</v>
      </c>
      <c r="H15" s="23">
        <f t="shared" si="1"/>
        <v>137297.00000000003</v>
      </c>
      <c r="I15" s="23">
        <f t="shared" si="1"/>
        <v>139702.60000000003</v>
      </c>
      <c r="J15" s="23">
        <f t="shared" si="1"/>
        <v>142108.20000000004</v>
      </c>
      <c r="K15" s="23">
        <f t="shared" si="1"/>
        <v>144513.80000000005</v>
      </c>
      <c r="L15" s="23">
        <f t="shared" si="1"/>
        <v>146919.40000000005</v>
      </c>
      <c r="M15" s="23">
        <v>149325</v>
      </c>
      <c r="N15" s="23">
        <f>M15+($W15-$M15)/10</f>
        <v>151097.60000000001</v>
      </c>
      <c r="O15" s="23">
        <f t="shared" ref="O15:V16" si="2">N15+($W15-$M15)/10</f>
        <v>152870.20000000001</v>
      </c>
      <c r="P15" s="23">
        <f t="shared" si="2"/>
        <v>154642.80000000002</v>
      </c>
      <c r="Q15" s="23">
        <f t="shared" si="2"/>
        <v>156415.40000000002</v>
      </c>
      <c r="R15" s="23">
        <f t="shared" si="2"/>
        <v>158188.00000000003</v>
      </c>
      <c r="S15" s="23">
        <f t="shared" si="2"/>
        <v>159960.60000000003</v>
      </c>
      <c r="T15" s="23">
        <f t="shared" si="2"/>
        <v>161733.20000000004</v>
      </c>
      <c r="U15" s="23">
        <f t="shared" si="2"/>
        <v>163505.80000000005</v>
      </c>
      <c r="V15" s="23">
        <f t="shared" si="2"/>
        <v>165278.40000000005</v>
      </c>
      <c r="W15" s="23">
        <v>167051</v>
      </c>
      <c r="X15" s="23">
        <f>W15+($AG15-$W15)/10</f>
        <v>169051.2</v>
      </c>
      <c r="Y15" s="23">
        <f t="shared" ref="Y15:AF16" si="3">X15+($AG15-$W15)/10</f>
        <v>171051.40000000002</v>
      </c>
      <c r="Z15" s="23">
        <f t="shared" si="3"/>
        <v>173051.60000000003</v>
      </c>
      <c r="AA15" s="23">
        <f t="shared" si="3"/>
        <v>175051.80000000005</v>
      </c>
      <c r="AB15" s="23">
        <f t="shared" si="3"/>
        <v>177052.00000000006</v>
      </c>
      <c r="AC15" s="23">
        <f t="shared" si="3"/>
        <v>179052.20000000007</v>
      </c>
      <c r="AD15" s="23">
        <f t="shared" si="3"/>
        <v>181052.40000000008</v>
      </c>
      <c r="AE15" s="23">
        <f t="shared" si="3"/>
        <v>183052.60000000009</v>
      </c>
      <c r="AF15" s="23">
        <f t="shared" si="3"/>
        <v>185052.8000000001</v>
      </c>
      <c r="AG15" s="23">
        <v>187053</v>
      </c>
      <c r="AH15" s="23">
        <f>AG15+($AQ15-$AG15)/10</f>
        <v>190583.75390000001</v>
      </c>
      <c r="AI15" s="23">
        <f t="shared" ref="AI15:AP16" si="4">AH15+($AQ15-$AG15)/10</f>
        <v>194114.50780000002</v>
      </c>
      <c r="AJ15" s="23">
        <f t="shared" si="4"/>
        <v>197645.26170000003</v>
      </c>
      <c r="AK15" s="23">
        <f t="shared" si="4"/>
        <v>201176.01560000004</v>
      </c>
      <c r="AL15" s="23">
        <f t="shared" si="4"/>
        <v>204706.76950000005</v>
      </c>
      <c r="AM15" s="23">
        <f t="shared" si="4"/>
        <v>208237.52340000006</v>
      </c>
      <c r="AN15" s="23">
        <f t="shared" si="4"/>
        <v>211768.27730000007</v>
      </c>
      <c r="AO15" s="23">
        <f t="shared" si="4"/>
        <v>215299.03120000008</v>
      </c>
      <c r="AP15" s="23">
        <f t="shared" si="4"/>
        <v>218829.7851000001</v>
      </c>
      <c r="AQ15" s="23">
        <v>222360.53899999999</v>
      </c>
      <c r="AR15" s="23">
        <f>AQ15+($AQ15-$AG15)/10</f>
        <v>225891.2929</v>
      </c>
      <c r="AS15" s="23">
        <f t="shared" ref="AS15:BB16" si="5">AR15+($AQ15-$AG15)/10</f>
        <v>229422.04680000001</v>
      </c>
      <c r="AT15" s="23">
        <f t="shared" si="5"/>
        <v>232952.80070000002</v>
      </c>
      <c r="AU15" s="23">
        <f t="shared" si="5"/>
        <v>236483.55460000003</v>
      </c>
      <c r="AV15" s="23">
        <f t="shared" si="5"/>
        <v>240014.30850000004</v>
      </c>
      <c r="AW15" s="23">
        <f t="shared" si="5"/>
        <v>243545.06240000005</v>
      </c>
      <c r="AX15" s="23">
        <f t="shared" si="5"/>
        <v>247075.81630000006</v>
      </c>
      <c r="AY15" s="23">
        <f t="shared" si="5"/>
        <v>250606.57020000007</v>
      </c>
      <c r="AZ15" s="23">
        <f t="shared" si="5"/>
        <v>254137.32410000009</v>
      </c>
      <c r="BA15" s="23">
        <f t="shared" si="5"/>
        <v>257668.0780000001</v>
      </c>
      <c r="BB15" s="23">
        <f t="shared" si="5"/>
        <v>261198.83190000011</v>
      </c>
      <c r="BC15" s="23">
        <f>BB15+($AQ15-$AG15)/10</f>
        <v>264729.58580000012</v>
      </c>
      <c r="BD15" s="23">
        <f>BC15+($AQ15-$AG15)/10</f>
        <v>268260.33970000013</v>
      </c>
    </row>
    <row r="16" spans="1:56" s="23" customFormat="1" x14ac:dyDescent="0.25">
      <c r="A16" s="23">
        <v>3</v>
      </c>
      <c r="B16" s="23" t="s">
        <v>58</v>
      </c>
      <c r="C16" s="23">
        <v>2254</v>
      </c>
      <c r="D16" s="23">
        <f>C16+($M16-$C16)/10</f>
        <v>2329</v>
      </c>
      <c r="E16" s="23">
        <f t="shared" si="1"/>
        <v>2404</v>
      </c>
      <c r="F16" s="23">
        <f t="shared" si="1"/>
        <v>2479</v>
      </c>
      <c r="G16" s="23">
        <f t="shared" si="1"/>
        <v>2554</v>
      </c>
      <c r="H16" s="23">
        <f t="shared" si="1"/>
        <v>2629</v>
      </c>
      <c r="I16" s="23">
        <f t="shared" si="1"/>
        <v>2704</v>
      </c>
      <c r="J16" s="23">
        <f t="shared" si="1"/>
        <v>2779</v>
      </c>
      <c r="K16" s="23">
        <f t="shared" si="1"/>
        <v>2854</v>
      </c>
      <c r="L16" s="23">
        <f t="shared" si="1"/>
        <v>2929</v>
      </c>
      <c r="M16" s="23">
        <v>3004</v>
      </c>
      <c r="N16" s="23">
        <f>M16+($W16-$M16)/10</f>
        <v>3042.3</v>
      </c>
      <c r="O16" s="23">
        <f t="shared" si="2"/>
        <v>3080.6000000000004</v>
      </c>
      <c r="P16" s="23">
        <f t="shared" si="2"/>
        <v>3118.9000000000005</v>
      </c>
      <c r="Q16" s="23">
        <f t="shared" si="2"/>
        <v>3157.2000000000007</v>
      </c>
      <c r="R16" s="23">
        <f t="shared" si="2"/>
        <v>3195.5000000000009</v>
      </c>
      <c r="S16" s="23">
        <f t="shared" si="2"/>
        <v>3233.8000000000011</v>
      </c>
      <c r="T16" s="23">
        <f t="shared" si="2"/>
        <v>3272.1000000000013</v>
      </c>
      <c r="U16" s="23">
        <f t="shared" si="2"/>
        <v>3310.4000000000015</v>
      </c>
      <c r="V16" s="23">
        <f t="shared" si="2"/>
        <v>3348.7000000000016</v>
      </c>
      <c r="W16" s="23">
        <v>3387</v>
      </c>
      <c r="X16" s="23">
        <f>W16+($AG16-$W16)/10</f>
        <v>3437.1</v>
      </c>
      <c r="Y16" s="23">
        <f t="shared" si="3"/>
        <v>3487.2</v>
      </c>
      <c r="Z16" s="23">
        <f t="shared" si="3"/>
        <v>3537.2999999999997</v>
      </c>
      <c r="AA16" s="23">
        <f t="shared" si="3"/>
        <v>3587.3999999999996</v>
      </c>
      <c r="AB16" s="23">
        <f t="shared" si="3"/>
        <v>3637.4999999999995</v>
      </c>
      <c r="AC16" s="23">
        <f t="shared" si="3"/>
        <v>3687.5999999999995</v>
      </c>
      <c r="AD16" s="23">
        <f t="shared" si="3"/>
        <v>3737.6999999999994</v>
      </c>
      <c r="AE16" s="23">
        <f t="shared" si="3"/>
        <v>3787.7999999999993</v>
      </c>
      <c r="AF16" s="23">
        <f t="shared" si="3"/>
        <v>3837.8999999999992</v>
      </c>
      <c r="AG16" s="23">
        <v>3888</v>
      </c>
      <c r="AH16" s="23">
        <f>AG16+($AQ16-$AG16)/10</f>
        <v>3955.0668000000001</v>
      </c>
      <c r="AI16" s="23">
        <f t="shared" si="4"/>
        <v>4022.1336000000001</v>
      </c>
      <c r="AJ16" s="23">
        <f t="shared" si="4"/>
        <v>4089.2004000000002</v>
      </c>
      <c r="AK16" s="23">
        <f t="shared" si="4"/>
        <v>4156.2672000000002</v>
      </c>
      <c r="AL16" s="23">
        <f t="shared" si="4"/>
        <v>4223.3339999999998</v>
      </c>
      <c r="AM16" s="23">
        <f t="shared" si="4"/>
        <v>4290.4007999999994</v>
      </c>
      <c r="AN16" s="23">
        <f t="shared" si="4"/>
        <v>4357.467599999999</v>
      </c>
      <c r="AO16" s="23">
        <f t="shared" si="4"/>
        <v>4424.5343999999986</v>
      </c>
      <c r="AP16" s="23">
        <f t="shared" si="4"/>
        <v>4491.6011999999982</v>
      </c>
      <c r="AQ16" s="23">
        <v>4558.6679999999997</v>
      </c>
      <c r="AR16" s="23">
        <f>AQ16+($AQ16-$AG16)/10</f>
        <v>4625.7347999999993</v>
      </c>
      <c r="AS16" s="23">
        <f t="shared" si="5"/>
        <v>4692.8015999999989</v>
      </c>
      <c r="AT16" s="23">
        <f t="shared" si="5"/>
        <v>4759.8683999999985</v>
      </c>
      <c r="AU16" s="23">
        <f t="shared" si="5"/>
        <v>4826.9351999999981</v>
      </c>
      <c r="AV16" s="23">
        <f t="shared" si="5"/>
        <v>4894.0019999999977</v>
      </c>
      <c r="AW16" s="23">
        <f t="shared" si="5"/>
        <v>4961.0687999999973</v>
      </c>
      <c r="AX16" s="23">
        <f t="shared" si="5"/>
        <v>5028.1355999999969</v>
      </c>
      <c r="AY16" s="23">
        <f t="shared" si="5"/>
        <v>5095.2023999999965</v>
      </c>
      <c r="AZ16" s="23">
        <f t="shared" si="5"/>
        <v>5162.2691999999961</v>
      </c>
      <c r="BA16" s="23">
        <f t="shared" si="5"/>
        <v>5229.3359999999957</v>
      </c>
      <c r="BB16" s="23">
        <f t="shared" si="5"/>
        <v>5296.4027999999953</v>
      </c>
      <c r="BC16" s="23">
        <f>BB16+($AQ16-$AG16)/10</f>
        <v>5363.4695999999949</v>
      </c>
      <c r="BD16" s="23">
        <f>BC16+($AQ16-$AG16)/10</f>
        <v>5430.5363999999945</v>
      </c>
    </row>
    <row r="17" spans="1:56" s="11" customFormat="1" x14ac:dyDescent="0.25">
      <c r="A17" s="11">
        <v>4</v>
      </c>
      <c r="B17" s="11" t="s">
        <v>53</v>
      </c>
      <c r="C17" s="11">
        <f t="shared" ref="C17:M17" si="6">D17/1.03</f>
        <v>10.254173848421262</v>
      </c>
      <c r="D17" s="11">
        <f t="shared" si="6"/>
        <v>10.561799063873901</v>
      </c>
      <c r="E17" s="11">
        <f t="shared" si="6"/>
        <v>10.878653035790117</v>
      </c>
      <c r="F17" s="11">
        <f t="shared" si="6"/>
        <v>11.205012626863821</v>
      </c>
      <c r="G17" s="11">
        <f t="shared" si="6"/>
        <v>11.541163005669736</v>
      </c>
      <c r="H17" s="11">
        <f t="shared" si="6"/>
        <v>11.887397895839829</v>
      </c>
      <c r="I17" s="11">
        <f t="shared" si="6"/>
        <v>12.244019832715024</v>
      </c>
      <c r="J17" s="11">
        <f t="shared" si="6"/>
        <v>12.611340427696474</v>
      </c>
      <c r="K17" s="11">
        <f t="shared" si="6"/>
        <v>12.989680640527368</v>
      </c>
      <c r="L17" s="11">
        <f t="shared" si="6"/>
        <v>13.379371059743189</v>
      </c>
      <c r="M17" s="11">
        <f t="shared" si="6"/>
        <v>13.780752191535486</v>
      </c>
      <c r="N17" s="11">
        <f>O17/1.03</f>
        <v>14.194174757281552</v>
      </c>
      <c r="O17" s="11">
        <v>14.62</v>
      </c>
      <c r="P17" s="11">
        <f>O17*1.01</f>
        <v>14.7662</v>
      </c>
      <c r="Q17" s="11">
        <f>P17*1.01</f>
        <v>14.913862</v>
      </c>
      <c r="R17" s="11">
        <f t="shared" ref="R17:BB17" si="7">Q17*1.01</f>
        <v>15.06300062</v>
      </c>
      <c r="S17" s="11">
        <f t="shared" si="7"/>
        <v>15.213630626200001</v>
      </c>
      <c r="T17" s="11">
        <f t="shared" si="7"/>
        <v>15.365766932462</v>
      </c>
      <c r="U17" s="11">
        <f t="shared" si="7"/>
        <v>15.51942460178662</v>
      </c>
      <c r="V17" s="11">
        <f t="shared" si="7"/>
        <v>15.674618847804485</v>
      </c>
      <c r="W17" s="11">
        <f t="shared" si="7"/>
        <v>15.831365036282531</v>
      </c>
      <c r="X17" s="11">
        <f t="shared" si="7"/>
        <v>15.989678686645355</v>
      </c>
      <c r="Y17" s="11">
        <f t="shared" si="7"/>
        <v>16.14957547351181</v>
      </c>
      <c r="Z17" s="11">
        <f t="shared" si="7"/>
        <v>16.311071228246927</v>
      </c>
      <c r="AA17" s="11">
        <f t="shared" si="7"/>
        <v>16.474181940529398</v>
      </c>
      <c r="AB17" s="11">
        <f t="shared" si="7"/>
        <v>16.638923759934691</v>
      </c>
      <c r="AC17" s="11">
        <f t="shared" si="7"/>
        <v>16.805312997534038</v>
      </c>
      <c r="AD17" s="11">
        <f t="shared" si="7"/>
        <v>16.973366127509379</v>
      </c>
      <c r="AE17" s="11">
        <f t="shared" si="7"/>
        <v>17.143099788784472</v>
      </c>
      <c r="AF17" s="11">
        <f t="shared" si="7"/>
        <v>17.314530786672318</v>
      </c>
      <c r="AG17" s="11">
        <f t="shared" si="7"/>
        <v>17.48767609453904</v>
      </c>
      <c r="AH17" s="11">
        <f t="shared" si="7"/>
        <v>17.662552855484432</v>
      </c>
      <c r="AI17" s="11">
        <f t="shared" si="7"/>
        <v>17.839178384039275</v>
      </c>
      <c r="AJ17" s="11">
        <f t="shared" si="7"/>
        <v>18.017570167879668</v>
      </c>
      <c r="AK17" s="11">
        <f t="shared" si="7"/>
        <v>18.197745869558464</v>
      </c>
      <c r="AL17" s="11">
        <f t="shared" si="7"/>
        <v>18.379723328254048</v>
      </c>
      <c r="AM17" s="11">
        <f t="shared" si="7"/>
        <v>18.563520561536588</v>
      </c>
      <c r="AN17" s="11">
        <f t="shared" si="7"/>
        <v>18.749155767151954</v>
      </c>
      <c r="AO17" s="11">
        <f t="shared" si="7"/>
        <v>18.936647324823475</v>
      </c>
      <c r="AP17" s="11">
        <f t="shared" si="7"/>
        <v>19.12601379807171</v>
      </c>
      <c r="AQ17" s="11">
        <f t="shared" si="7"/>
        <v>19.317273936052427</v>
      </c>
      <c r="AR17" s="11">
        <f t="shared" si="7"/>
        <v>19.51044667541295</v>
      </c>
      <c r="AS17" s="11">
        <f t="shared" si="7"/>
        <v>19.705551142167081</v>
      </c>
      <c r="AT17" s="11">
        <f t="shared" si="7"/>
        <v>19.902606653588752</v>
      </c>
      <c r="AU17" s="11">
        <f t="shared" si="7"/>
        <v>20.101632720124638</v>
      </c>
      <c r="AV17" s="11">
        <f t="shared" si="7"/>
        <v>20.302649047325882</v>
      </c>
      <c r="AW17" s="11">
        <f t="shared" si="7"/>
        <v>20.505675537799142</v>
      </c>
      <c r="AX17" s="11">
        <f t="shared" si="7"/>
        <v>20.710732293177134</v>
      </c>
      <c r="AY17" s="11">
        <f t="shared" si="7"/>
        <v>20.917839616108907</v>
      </c>
      <c r="AZ17" s="11">
        <f t="shared" si="7"/>
        <v>21.127018012269996</v>
      </c>
      <c r="BA17" s="11">
        <f t="shared" si="7"/>
        <v>21.338288192392696</v>
      </c>
      <c r="BB17" s="11">
        <f t="shared" si="7"/>
        <v>21.551671074316623</v>
      </c>
      <c r="BC17" s="11">
        <f>BB17*1.01</f>
        <v>21.767187785059789</v>
      </c>
      <c r="BD17" s="11">
        <f>BC17*1.01</f>
        <v>21.984859662910388</v>
      </c>
    </row>
    <row r="19" spans="1:56" x14ac:dyDescent="0.25">
      <c r="A19" s="130" t="s">
        <v>11</v>
      </c>
      <c r="B19" s="130"/>
    </row>
    <row r="20" spans="1:56" x14ac:dyDescent="0.25">
      <c r="A20" s="7">
        <v>1</v>
      </c>
      <c r="B20" s="7" t="s">
        <v>59</v>
      </c>
    </row>
    <row r="21" spans="1:56" x14ac:dyDescent="0.25">
      <c r="A21" s="7">
        <v>2</v>
      </c>
      <c r="B21" s="7" t="s">
        <v>60</v>
      </c>
    </row>
    <row r="22" spans="1:56" x14ac:dyDescent="0.25">
      <c r="A22" s="7">
        <v>3</v>
      </c>
      <c r="B22" s="7" t="s">
        <v>60</v>
      </c>
    </row>
    <row r="23" spans="1:56" x14ac:dyDescent="0.25">
      <c r="A23" s="7">
        <v>4</v>
      </c>
      <c r="B23" s="7" t="s">
        <v>61</v>
      </c>
    </row>
    <row r="27" spans="1:56" x14ac:dyDescent="0.25">
      <c r="A27" s="130" t="s">
        <v>16</v>
      </c>
      <c r="B27" s="130"/>
    </row>
    <row r="28" spans="1:56" ht="47" customHeight="1" x14ac:dyDescent="0.3">
      <c r="A28" s="133" t="s">
        <v>62</v>
      </c>
      <c r="B28" s="134"/>
      <c r="C28" s="134"/>
      <c r="D28" s="134"/>
      <c r="E28" s="134"/>
      <c r="F28" s="134"/>
      <c r="G28" s="19"/>
      <c r="H28" s="19"/>
      <c r="I28" s="19"/>
      <c r="J28" s="19"/>
      <c r="K28" s="19"/>
    </row>
    <row r="31" spans="1:56" x14ac:dyDescent="0.25">
      <c r="A31" s="130" t="s">
        <v>18</v>
      </c>
      <c r="B31" s="130"/>
    </row>
    <row r="32" spans="1:56" ht="182" customHeight="1" x14ac:dyDescent="0.25">
      <c r="A32" s="137" t="s">
        <v>63</v>
      </c>
      <c r="B32" s="137"/>
      <c r="C32" s="137"/>
      <c r="D32" s="137"/>
      <c r="E32" s="137"/>
      <c r="F32" s="137"/>
      <c r="G32" s="15"/>
      <c r="H32" s="15"/>
      <c r="I32" s="15"/>
      <c r="J32" s="15"/>
      <c r="K32" s="15"/>
    </row>
    <row r="35" spans="1:11" x14ac:dyDescent="0.25">
      <c r="A35" s="130" t="s">
        <v>21</v>
      </c>
      <c r="B35" s="130"/>
    </row>
    <row r="36" spans="1:11" ht="78" customHeight="1" x14ac:dyDescent="0.25">
      <c r="A36" s="129"/>
      <c r="B36" s="132"/>
      <c r="C36" s="132"/>
      <c r="D36" s="132"/>
      <c r="E36" s="132"/>
      <c r="F36" s="132"/>
      <c r="G36" s="132"/>
      <c r="H36" s="132"/>
      <c r="I36" s="132"/>
      <c r="J36" s="132"/>
      <c r="K36" s="132"/>
    </row>
    <row r="38" spans="1:11" x14ac:dyDescent="0.25">
      <c r="A38" s="130" t="s">
        <v>22</v>
      </c>
      <c r="B38" s="130"/>
    </row>
    <row r="39" spans="1:11" ht="110" customHeight="1" x14ac:dyDescent="0.25">
      <c r="A39" s="129"/>
      <c r="B39" s="129"/>
      <c r="C39" s="129"/>
      <c r="D39" s="129"/>
      <c r="E39" s="129"/>
      <c r="F39" s="129"/>
      <c r="G39" s="129"/>
      <c r="H39" s="129"/>
      <c r="I39" s="129"/>
      <c r="J39" s="129"/>
      <c r="K39" s="129"/>
    </row>
    <row r="41" spans="1:11" customFormat="1" x14ac:dyDescent="0.3"/>
    <row r="42" spans="1:11" customFormat="1" x14ac:dyDescent="0.3"/>
    <row r="43" spans="1:11" customFormat="1" ht="107" customHeight="1" x14ac:dyDescent="0.3"/>
    <row r="44" spans="1:11" customFormat="1" x14ac:dyDescent="0.3"/>
    <row r="45" spans="1:11" customFormat="1" x14ac:dyDescent="0.3"/>
    <row r="46" spans="1:11" customFormat="1" ht="15.75" customHeight="1" x14ac:dyDescent="0.3"/>
  </sheetData>
  <mergeCells count="11">
    <mergeCell ref="A31:B31"/>
    <mergeCell ref="A6:B6"/>
    <mergeCell ref="A13:B13"/>
    <mergeCell ref="A19:B19"/>
    <mergeCell ref="A27:B27"/>
    <mergeCell ref="A28:F28"/>
    <mergeCell ref="A32:F32"/>
    <mergeCell ref="A35:B35"/>
    <mergeCell ref="A36:K36"/>
    <mergeCell ref="A38:B38"/>
    <mergeCell ref="A39:K39"/>
  </mergeCells>
  <pageMargins left="0.75000000000000011" right="0.75000000000000011" top="1" bottom="1" header="0.5" footer="0.5"/>
  <pageSetup orientation="portrait" horizontalDpi="4294967292" verticalDpi="429496729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75"/>
  <sheetViews>
    <sheetView zoomScale="80" zoomScaleNormal="80" workbookViewId="0">
      <pane xSplit="2" ySplit="2" topLeftCell="AV45" activePane="bottomRight" state="frozen"/>
      <selection activeCell="AV27" sqref="AV27"/>
      <selection pane="topRight" activeCell="AV27" sqref="AV27"/>
      <selection pane="bottomLeft" activeCell="AV27" sqref="AV27"/>
      <selection pane="bottomRight" activeCell="AW57" sqref="AW57"/>
    </sheetView>
  </sheetViews>
  <sheetFormatPr defaultColWidth="11" defaultRowHeight="13.5" x14ac:dyDescent="0.25"/>
  <cols>
    <col min="1" max="1" width="5.53515625" style="31" customWidth="1"/>
    <col min="2" max="2" width="50.53515625" style="7" customWidth="1"/>
    <col min="3" max="3" width="13.3828125" style="7" customWidth="1"/>
    <col min="4" max="4" width="12.3828125" style="7" bestFit="1" customWidth="1"/>
    <col min="5" max="32" width="11.3046875" style="7" bestFit="1" customWidth="1"/>
    <col min="33" max="33" width="12.3828125" style="7" bestFit="1" customWidth="1"/>
    <col min="34" max="40" width="11.3046875" style="7" bestFit="1" customWidth="1"/>
    <col min="41" max="44" width="12.15234375" style="7" bestFit="1" customWidth="1"/>
    <col min="45" max="45" width="13.3828125" style="7" bestFit="1" customWidth="1"/>
    <col min="46" max="50" width="12.15234375" style="7" bestFit="1" customWidth="1"/>
    <col min="51" max="51" width="11.3046875" style="7" bestFit="1" customWidth="1"/>
    <col min="52" max="52" width="12.15234375" style="7" bestFit="1" customWidth="1"/>
    <col min="53" max="55" width="11.15234375" style="7" bestFit="1" customWidth="1"/>
    <col min="56" max="56" width="12" style="7" bestFit="1" customWidth="1"/>
    <col min="57" max="63" width="11.15234375" style="7" bestFit="1" customWidth="1"/>
    <col min="64" max="16384" width="11" style="7"/>
  </cols>
  <sheetData>
    <row r="1" spans="1:76" s="2" customFormat="1" ht="18" thickBot="1" x14ac:dyDescent="0.4">
      <c r="A1" s="24" t="s">
        <v>64</v>
      </c>
      <c r="B1" s="1"/>
      <c r="C1" s="1"/>
      <c r="D1" s="1"/>
      <c r="E1" s="1"/>
      <c r="F1" s="1"/>
    </row>
    <row r="2" spans="1:76" s="4" customFormat="1" ht="14" thickTop="1" x14ac:dyDescent="0.25">
      <c r="A2" s="25"/>
      <c r="B2" s="5" t="s">
        <v>1</v>
      </c>
      <c r="C2" s="4">
        <v>1960</v>
      </c>
      <c r="D2" s="4">
        <v>1961</v>
      </c>
      <c r="E2" s="4">
        <v>1962</v>
      </c>
      <c r="F2" s="4">
        <v>1963</v>
      </c>
      <c r="G2" s="4">
        <v>1964</v>
      </c>
      <c r="H2" s="4">
        <v>1965</v>
      </c>
      <c r="I2" s="4">
        <v>1966</v>
      </c>
      <c r="J2" s="4">
        <v>1967</v>
      </c>
      <c r="K2" s="4">
        <v>1968</v>
      </c>
      <c r="L2" s="4">
        <v>1969</v>
      </c>
      <c r="M2" s="4">
        <v>1970</v>
      </c>
      <c r="N2" s="4">
        <v>1971</v>
      </c>
      <c r="O2" s="4">
        <v>1972</v>
      </c>
      <c r="P2" s="4">
        <v>1973</v>
      </c>
      <c r="Q2" s="4">
        <v>1974</v>
      </c>
      <c r="R2" s="4">
        <v>1975</v>
      </c>
      <c r="S2" s="4">
        <v>1976</v>
      </c>
      <c r="T2" s="4">
        <v>1977</v>
      </c>
      <c r="U2" s="4">
        <v>1978</v>
      </c>
      <c r="V2" s="4">
        <v>1979</v>
      </c>
      <c r="W2" s="4">
        <v>1980</v>
      </c>
      <c r="X2" s="4">
        <v>1981</v>
      </c>
      <c r="Y2" s="4">
        <v>1982</v>
      </c>
      <c r="Z2" s="4">
        <v>1983</v>
      </c>
      <c r="AA2" s="4">
        <v>1984</v>
      </c>
      <c r="AB2" s="4">
        <v>1985</v>
      </c>
      <c r="AC2" s="4">
        <v>1986</v>
      </c>
      <c r="AD2" s="4">
        <v>1987</v>
      </c>
      <c r="AE2" s="4">
        <v>1988</v>
      </c>
      <c r="AF2" s="4">
        <v>1989</v>
      </c>
      <c r="AG2" s="4">
        <v>1990</v>
      </c>
      <c r="AH2" s="4">
        <v>1991</v>
      </c>
      <c r="AI2" s="4">
        <v>1992</v>
      </c>
      <c r="AJ2" s="4">
        <v>1993</v>
      </c>
      <c r="AK2" s="4">
        <v>1994</v>
      </c>
      <c r="AL2" s="4">
        <v>1995</v>
      </c>
      <c r="AM2" s="4">
        <v>1996</v>
      </c>
      <c r="AN2" s="4">
        <v>1997</v>
      </c>
      <c r="AO2" s="4">
        <v>1998</v>
      </c>
      <c r="AP2" s="4">
        <v>1999</v>
      </c>
      <c r="AQ2" s="4">
        <v>2000</v>
      </c>
      <c r="AR2" s="4">
        <v>2001</v>
      </c>
      <c r="AS2" s="4">
        <v>2002</v>
      </c>
      <c r="AT2" s="4">
        <v>2003</v>
      </c>
      <c r="AU2" s="4">
        <v>2004</v>
      </c>
      <c r="AV2" s="4">
        <v>2005</v>
      </c>
      <c r="AW2" s="4">
        <v>2006</v>
      </c>
      <c r="AX2" s="4">
        <v>2007</v>
      </c>
      <c r="AY2" s="4">
        <v>2008</v>
      </c>
      <c r="AZ2" s="4">
        <v>2009</v>
      </c>
      <c r="BA2" s="4">
        <v>2010</v>
      </c>
      <c r="BB2" s="4">
        <v>2011</v>
      </c>
      <c r="BC2" s="4">
        <v>2012</v>
      </c>
      <c r="BD2" s="4">
        <v>2013</v>
      </c>
    </row>
    <row r="3" spans="1:76" s="13" customFormat="1" x14ac:dyDescent="0.25">
      <c r="A3" s="26">
        <v>1</v>
      </c>
      <c r="B3" s="27" t="s">
        <v>65</v>
      </c>
      <c r="C3" s="13">
        <v>0.1800037995324828</v>
      </c>
      <c r="D3" s="13">
        <v>0.18240887552313248</v>
      </c>
      <c r="E3" s="13">
        <v>0.18486205303359513</v>
      </c>
      <c r="F3" s="13">
        <v>0.187364294094267</v>
      </c>
      <c r="G3" s="13">
        <v>0.18991657997615236</v>
      </c>
      <c r="H3" s="13">
        <v>0.19251991157567538</v>
      </c>
      <c r="I3" s="13">
        <v>0.19517530980718889</v>
      </c>
      <c r="J3" s="13">
        <v>0.19788381600333269</v>
      </c>
      <c r="K3" s="13">
        <v>0.20064649232339934</v>
      </c>
      <c r="L3" s="13">
        <v>0.20346442216986735</v>
      </c>
      <c r="M3" s="13">
        <v>0.20633871061326467</v>
      </c>
      <c r="N3" s="13">
        <v>0.20927048482552996</v>
      </c>
      <c r="O3" s="13">
        <v>0.21226089452204058</v>
      </c>
      <c r="P3" s="13">
        <v>0.21531111241248141</v>
      </c>
      <c r="Q3" s="13">
        <v>0.21842233466073102</v>
      </c>
      <c r="R3" s="13">
        <v>0.22159578135394564</v>
      </c>
      <c r="S3" s="13">
        <v>0.22483269698102457</v>
      </c>
      <c r="T3" s="13">
        <v>0.22813435092064505</v>
      </c>
      <c r="U3" s="13">
        <v>0.23150203793905794</v>
      </c>
      <c r="V3" s="13">
        <v>0.23493707869783911</v>
      </c>
      <c r="W3" s="13">
        <v>0.23844082027179589</v>
      </c>
      <c r="X3" s="13">
        <v>0.24201463667723183</v>
      </c>
      <c r="Y3" s="13">
        <v>0.24565992941077647</v>
      </c>
      <c r="Z3" s="13">
        <v>0.24937812799899201</v>
      </c>
      <c r="AA3" s="13">
        <v>0.25317069055897184</v>
      </c>
      <c r="AB3" s="13">
        <v>0.25703910437015126</v>
      </c>
      <c r="AC3" s="13">
        <v>0.2609848864575543</v>
      </c>
      <c r="AD3" s="13">
        <v>0.26500958418670539</v>
      </c>
      <c r="AE3" s="13">
        <v>0.26911477587043947</v>
      </c>
      <c r="AF3" s="13">
        <v>0.27330207138784823</v>
      </c>
      <c r="AG3" s="13">
        <v>0.28953202881332474</v>
      </c>
      <c r="AH3" s="13">
        <v>0.29017678522725893</v>
      </c>
      <c r="AI3" s="13">
        <v>0.29081221881196462</v>
      </c>
      <c r="AJ3" s="13">
        <v>0.29128812746176869</v>
      </c>
      <c r="AK3" s="13">
        <v>0.2917874236223631</v>
      </c>
      <c r="AL3" s="13">
        <v>0.29231085243071958</v>
      </c>
      <c r="AM3" s="13">
        <v>0.29281108061081373</v>
      </c>
      <c r="AN3" s="13">
        <v>0.2934635897926558</v>
      </c>
      <c r="AO3" s="13">
        <v>0.29118167196815659</v>
      </c>
      <c r="AP3" s="13">
        <v>0.28714417868051956</v>
      </c>
      <c r="AQ3" s="13">
        <v>0.28576969550416703</v>
      </c>
      <c r="AR3" s="13">
        <v>0.27916874004973374</v>
      </c>
      <c r="AS3" s="13">
        <v>0.25614770875852849</v>
      </c>
      <c r="AT3" s="13">
        <v>0.25341833528864322</v>
      </c>
      <c r="AU3" s="13">
        <v>0.25236448772660691</v>
      </c>
      <c r="AV3" s="13">
        <v>0.25011117003032574</v>
      </c>
      <c r="AW3" s="13">
        <v>0.24785969177706191</v>
      </c>
      <c r="AX3" s="13">
        <v>0.24433718369113522</v>
      </c>
      <c r="AY3" s="13">
        <v>0.24361127192293525</v>
      </c>
      <c r="AZ3" s="13">
        <v>0.24215530031928856</v>
      </c>
      <c r="BA3" s="13">
        <f>BL26</f>
        <v>0.24167918516069431</v>
      </c>
      <c r="BB3" s="13">
        <f>BM26</f>
        <v>0.24173744642440331</v>
      </c>
      <c r="BC3" s="13">
        <f>BN26</f>
        <v>0.24184969645914933</v>
      </c>
      <c r="BD3" s="13">
        <f>BO26</f>
        <v>0.24102768945470426</v>
      </c>
    </row>
    <row r="4" spans="1:76" s="13" customFormat="1" x14ac:dyDescent="0.25">
      <c r="A4" s="26">
        <v>2</v>
      </c>
      <c r="B4" s="27" t="s">
        <v>66</v>
      </c>
      <c r="C4" s="28">
        <f t="shared" ref="C4:BD5" si="0">N31</f>
        <v>790000</v>
      </c>
      <c r="D4" s="28">
        <f t="shared" si="0"/>
        <v>789000</v>
      </c>
      <c r="E4" s="28">
        <f t="shared" si="0"/>
        <v>788000</v>
      </c>
      <c r="F4" s="28">
        <f t="shared" si="0"/>
        <v>787000</v>
      </c>
      <c r="G4" s="28">
        <f t="shared" si="0"/>
        <v>786000</v>
      </c>
      <c r="H4" s="28">
        <f t="shared" si="0"/>
        <v>785000</v>
      </c>
      <c r="I4" s="28">
        <f t="shared" si="0"/>
        <v>784000</v>
      </c>
      <c r="J4" s="28">
        <f t="shared" si="0"/>
        <v>783000</v>
      </c>
      <c r="K4" s="28">
        <f t="shared" si="0"/>
        <v>782000</v>
      </c>
      <c r="L4" s="28">
        <f t="shared" si="0"/>
        <v>781000</v>
      </c>
      <c r="M4" s="28">
        <f t="shared" si="0"/>
        <v>780000</v>
      </c>
      <c r="N4" s="28">
        <f t="shared" si="0"/>
        <v>779000</v>
      </c>
      <c r="O4" s="28">
        <f t="shared" si="0"/>
        <v>778000</v>
      </c>
      <c r="P4" s="28">
        <f t="shared" si="0"/>
        <v>777000</v>
      </c>
      <c r="Q4" s="28">
        <f t="shared" si="0"/>
        <v>776000</v>
      </c>
      <c r="R4" s="28">
        <f t="shared" si="0"/>
        <v>775000</v>
      </c>
      <c r="S4" s="28">
        <f t="shared" si="0"/>
        <v>774000</v>
      </c>
      <c r="T4" s="28">
        <f t="shared" si="0"/>
        <v>773000</v>
      </c>
      <c r="U4" s="28">
        <f t="shared" si="0"/>
        <v>772000</v>
      </c>
      <c r="V4" s="28">
        <f t="shared" si="0"/>
        <v>771000</v>
      </c>
      <c r="W4" s="28">
        <f t="shared" si="0"/>
        <v>770000</v>
      </c>
      <c r="X4" s="28">
        <f t="shared" si="0"/>
        <v>769000</v>
      </c>
      <c r="Y4" s="28">
        <f t="shared" si="0"/>
        <v>768000</v>
      </c>
      <c r="Z4" s="28">
        <f t="shared" si="0"/>
        <v>767000</v>
      </c>
      <c r="AA4" s="28">
        <f t="shared" si="0"/>
        <v>766000</v>
      </c>
      <c r="AB4" s="28">
        <f t="shared" si="0"/>
        <v>765000</v>
      </c>
      <c r="AC4" s="28">
        <f t="shared" si="0"/>
        <v>764000</v>
      </c>
      <c r="AD4" s="28">
        <f t="shared" si="0"/>
        <v>763000</v>
      </c>
      <c r="AE4" s="28">
        <f t="shared" si="0"/>
        <v>762000</v>
      </c>
      <c r="AF4" s="28">
        <f t="shared" si="0"/>
        <v>761000</v>
      </c>
      <c r="AG4" s="28">
        <f t="shared" si="0"/>
        <v>757200</v>
      </c>
      <c r="AH4" s="28">
        <f t="shared" si="0"/>
        <v>757052</v>
      </c>
      <c r="AI4" s="28">
        <f t="shared" si="0"/>
        <v>756909</v>
      </c>
      <c r="AJ4" s="28">
        <f t="shared" si="0"/>
        <v>756804</v>
      </c>
      <c r="AK4" s="28">
        <f t="shared" si="0"/>
        <v>756696</v>
      </c>
      <c r="AL4" s="28">
        <f t="shared" si="0"/>
        <v>756585</v>
      </c>
      <c r="AM4" s="28">
        <f t="shared" si="0"/>
        <v>756481</v>
      </c>
      <c r="AN4" s="28">
        <f t="shared" si="0"/>
        <v>756348</v>
      </c>
      <c r="AO4" s="28">
        <f t="shared" si="0"/>
        <v>756804</v>
      </c>
      <c r="AP4" s="28">
        <f t="shared" si="0"/>
        <v>757595</v>
      </c>
      <c r="AQ4" s="28">
        <f t="shared" si="0"/>
        <v>757859</v>
      </c>
      <c r="AR4" s="28">
        <f t="shared" si="0"/>
        <v>759102</v>
      </c>
      <c r="AS4" s="28">
        <f t="shared" si="0"/>
        <v>763352</v>
      </c>
      <c r="AT4" s="28">
        <f t="shared" si="0"/>
        <v>763846</v>
      </c>
      <c r="AU4" s="28">
        <f t="shared" si="0"/>
        <v>764033</v>
      </c>
      <c r="AV4" s="28">
        <f t="shared" si="0"/>
        <v>764425</v>
      </c>
      <c r="AW4" s="28">
        <f t="shared" si="0"/>
        <v>764809</v>
      </c>
      <c r="AX4" s="28">
        <f t="shared" si="0"/>
        <v>765398</v>
      </c>
      <c r="AY4" s="28">
        <f t="shared" si="0"/>
        <v>765517</v>
      </c>
      <c r="AZ4" s="28">
        <f t="shared" si="0"/>
        <v>765750</v>
      </c>
      <c r="BA4" s="28">
        <f t="shared" si="0"/>
        <v>765826</v>
      </c>
      <c r="BB4" s="28">
        <f t="shared" si="0"/>
        <v>765817</v>
      </c>
      <c r="BC4" s="28">
        <f t="shared" si="0"/>
        <v>765800</v>
      </c>
      <c r="BD4" s="28">
        <f t="shared" si="0"/>
        <v>765922</v>
      </c>
    </row>
    <row r="5" spans="1:76" s="13" customFormat="1" x14ac:dyDescent="0.25">
      <c r="A5" s="26">
        <v>3</v>
      </c>
      <c r="B5" s="27" t="s">
        <v>67</v>
      </c>
      <c r="C5" s="13">
        <v>1000</v>
      </c>
      <c r="D5" s="13">
        <v>1000</v>
      </c>
      <c r="E5" s="13">
        <v>1000</v>
      </c>
      <c r="F5" s="13">
        <v>1000</v>
      </c>
      <c r="G5" s="13">
        <v>1000</v>
      </c>
      <c r="H5" s="13">
        <v>1000</v>
      </c>
      <c r="I5" s="13">
        <v>1000</v>
      </c>
      <c r="J5" s="13">
        <v>1000</v>
      </c>
      <c r="K5" s="13">
        <v>1000</v>
      </c>
      <c r="L5" s="13">
        <v>1000</v>
      </c>
      <c r="M5" s="13">
        <v>1000</v>
      </c>
      <c r="N5" s="13">
        <v>1000</v>
      </c>
      <c r="O5" s="13">
        <v>1000</v>
      </c>
      <c r="P5" s="13">
        <v>1000</v>
      </c>
      <c r="Q5" s="13">
        <v>1000</v>
      </c>
      <c r="R5" s="13">
        <v>1000</v>
      </c>
      <c r="S5" s="13">
        <v>1000</v>
      </c>
      <c r="T5" s="13">
        <v>1000</v>
      </c>
      <c r="U5" s="13">
        <v>1000</v>
      </c>
      <c r="V5" s="13">
        <v>1000</v>
      </c>
      <c r="W5" s="13">
        <v>1000</v>
      </c>
      <c r="X5" s="13">
        <v>1000</v>
      </c>
      <c r="Y5" s="13">
        <v>1000</v>
      </c>
      <c r="Z5" s="13">
        <v>1000</v>
      </c>
      <c r="AA5" s="13">
        <v>1000</v>
      </c>
      <c r="AB5" s="13">
        <v>1000</v>
      </c>
      <c r="AC5" s="13">
        <v>1000</v>
      </c>
      <c r="AD5" s="13">
        <v>1000</v>
      </c>
      <c r="AE5" s="13">
        <v>1000</v>
      </c>
      <c r="AF5" s="13">
        <v>1000</v>
      </c>
      <c r="AG5" s="13">
        <v>3800</v>
      </c>
      <c r="AH5" s="13">
        <v>148</v>
      </c>
      <c r="AI5" s="13">
        <v>143</v>
      </c>
      <c r="AJ5" s="13">
        <v>105</v>
      </c>
      <c r="AK5" s="13">
        <v>108</v>
      </c>
      <c r="AL5" s="13">
        <v>111</v>
      </c>
      <c r="AM5" s="13">
        <v>104</v>
      </c>
      <c r="AN5" s="13">
        <v>133</v>
      </c>
      <c r="AO5" s="13">
        <v>-456</v>
      </c>
      <c r="AP5" s="13">
        <v>-791</v>
      </c>
      <c r="AQ5" s="13">
        <v>-264</v>
      </c>
      <c r="AR5" s="13">
        <v>-1243</v>
      </c>
      <c r="AS5" s="13">
        <v>-4250</v>
      </c>
      <c r="AT5" s="13">
        <v>-494</v>
      </c>
      <c r="AU5" s="13">
        <v>-187</v>
      </c>
      <c r="AV5" s="13">
        <v>-392</v>
      </c>
      <c r="AW5" s="13">
        <v>-384</v>
      </c>
      <c r="AX5" s="13">
        <v>-589</v>
      </c>
      <c r="AY5" s="13">
        <v>-119</v>
      </c>
      <c r="AZ5" s="13">
        <v>-234</v>
      </c>
      <c r="BA5" s="13">
        <f t="shared" si="0"/>
        <v>-76</v>
      </c>
      <c r="BB5" s="13">
        <f t="shared" si="0"/>
        <v>9</v>
      </c>
      <c r="BC5" s="13">
        <f t="shared" si="0"/>
        <v>17</v>
      </c>
      <c r="BD5" s="13">
        <f t="shared" si="0"/>
        <v>-122.05</v>
      </c>
    </row>
    <row r="6" spans="1:76" s="13" customFormat="1" x14ac:dyDescent="0.25">
      <c r="A6" s="26"/>
      <c r="B6" s="29"/>
    </row>
    <row r="7" spans="1:76" s="13" customFormat="1" x14ac:dyDescent="0.25">
      <c r="A7" s="130" t="s">
        <v>4</v>
      </c>
      <c r="B7" s="130"/>
      <c r="AY7" s="30"/>
    </row>
    <row r="8" spans="1:76" s="13" customFormat="1" x14ac:dyDescent="0.25">
      <c r="A8" s="31">
        <v>1</v>
      </c>
      <c r="B8" s="7" t="s">
        <v>68</v>
      </c>
    </row>
    <row r="9" spans="1:76" s="13" customFormat="1" x14ac:dyDescent="0.25">
      <c r="A9" s="31">
        <v>2</v>
      </c>
      <c r="B9" s="7" t="s">
        <v>69</v>
      </c>
    </row>
    <row r="10" spans="1:76" s="13" customFormat="1" x14ac:dyDescent="0.25">
      <c r="A10" s="31">
        <v>3</v>
      </c>
      <c r="B10" s="7" t="s">
        <v>70</v>
      </c>
    </row>
    <row r="11" spans="1:76" s="13" customFormat="1" x14ac:dyDescent="0.25">
      <c r="A11" s="26"/>
      <c r="B11" s="29"/>
    </row>
    <row r="12" spans="1:76" s="13" customFormat="1" x14ac:dyDescent="0.25">
      <c r="A12" s="26"/>
      <c r="B12" s="29"/>
    </row>
    <row r="13" spans="1:76" s="13" customFormat="1" ht="14" x14ac:dyDescent="0.3">
      <c r="A13" s="130" t="s">
        <v>7</v>
      </c>
      <c r="B13" s="141"/>
    </row>
    <row r="14" spans="1:76" s="33" customFormat="1" ht="14" x14ac:dyDescent="0.3">
      <c r="A14" s="32">
        <v>1</v>
      </c>
      <c r="B14" s="11" t="s">
        <v>65</v>
      </c>
      <c r="C14" s="11">
        <v>0.1800037995324828</v>
      </c>
      <c r="D14" s="11">
        <v>0.18240887552313248</v>
      </c>
      <c r="E14" s="11">
        <v>0.18486205303359513</v>
      </c>
      <c r="F14" s="11">
        <v>0.187364294094267</v>
      </c>
      <c r="G14" s="11">
        <v>0.18991657997615236</v>
      </c>
      <c r="H14" s="11">
        <v>0.19251991157567538</v>
      </c>
      <c r="I14" s="11">
        <v>0.19517530980718889</v>
      </c>
      <c r="J14" s="11">
        <v>0.19788381600333269</v>
      </c>
      <c r="K14" s="11">
        <v>0.20064649232339934</v>
      </c>
      <c r="L14" s="11">
        <v>0.20346442216986735</v>
      </c>
      <c r="M14" s="11">
        <v>0.20633871061326467</v>
      </c>
      <c r="N14" s="11">
        <v>0.20927048482552996</v>
      </c>
      <c r="O14" s="11">
        <v>0.21226089452204058</v>
      </c>
      <c r="P14" s="11">
        <v>0.21531111241248141</v>
      </c>
      <c r="Q14" s="11">
        <v>0.21842233466073102</v>
      </c>
      <c r="R14" s="11">
        <v>0.22159578135394564</v>
      </c>
      <c r="S14" s="11">
        <v>0.22483269698102457</v>
      </c>
      <c r="T14" s="11">
        <v>0.22813435092064505</v>
      </c>
      <c r="U14" s="11">
        <v>0.23150203793905794</v>
      </c>
      <c r="V14" s="11">
        <v>0.23493707869783911</v>
      </c>
      <c r="W14" s="11">
        <v>0.23844082027179589</v>
      </c>
      <c r="X14" s="11">
        <v>0.24201463667723183</v>
      </c>
      <c r="Y14" s="11">
        <v>0.24565992941077647</v>
      </c>
      <c r="Z14" s="11">
        <v>0.24937812799899201</v>
      </c>
      <c r="AA14" s="11">
        <v>0.25317069055897184</v>
      </c>
      <c r="AB14" s="11">
        <v>0.25703910437015126</v>
      </c>
      <c r="AC14" s="11">
        <v>0.2609848864575543</v>
      </c>
      <c r="AD14" s="11">
        <v>0.26500958418670539</v>
      </c>
      <c r="AE14" s="11">
        <v>0.26911477587043947</v>
      </c>
      <c r="AF14" s="11">
        <v>0.27330207138784823</v>
      </c>
      <c r="AG14" s="11">
        <v>0.28953202881332474</v>
      </c>
      <c r="AH14" s="11">
        <v>0.29017678522725893</v>
      </c>
      <c r="AI14" s="11">
        <v>0.29081221881196462</v>
      </c>
      <c r="AJ14" s="11">
        <v>0.29128812746176869</v>
      </c>
      <c r="AK14" s="11">
        <v>0.2917874236223631</v>
      </c>
      <c r="AL14" s="11">
        <v>0.29231085243071958</v>
      </c>
      <c r="AM14" s="11">
        <v>0.29281108061081373</v>
      </c>
      <c r="AN14" s="11">
        <v>0.2934635897926558</v>
      </c>
      <c r="AO14" s="11">
        <v>0.29118167196815659</v>
      </c>
      <c r="AP14" s="11">
        <v>0.28714417868051956</v>
      </c>
      <c r="AQ14" s="11">
        <v>0.28576969550416703</v>
      </c>
      <c r="AR14" s="11">
        <v>0.27916874004973374</v>
      </c>
      <c r="AS14" s="11">
        <v>0.25614770875852849</v>
      </c>
      <c r="AT14" s="11">
        <v>0.25341833528864322</v>
      </c>
      <c r="AU14" s="11">
        <v>0.25236448772660691</v>
      </c>
      <c r="AV14" s="11">
        <v>0.25011117003032574</v>
      </c>
      <c r="AW14" s="11">
        <v>0.24785969177706191</v>
      </c>
      <c r="AX14" s="11">
        <v>0.24433718369113522</v>
      </c>
      <c r="AY14" s="11">
        <v>0.24361127192293525</v>
      </c>
      <c r="AZ14" s="11">
        <v>0.24215530031928856</v>
      </c>
      <c r="BA14" s="11">
        <v>0.24164757688827326</v>
      </c>
      <c r="BB14" s="11"/>
      <c r="BC14" s="11"/>
      <c r="BD14" s="11"/>
      <c r="BE14" s="11"/>
      <c r="BF14" s="11"/>
      <c r="BG14" s="11"/>
      <c r="BH14" s="11"/>
      <c r="BI14" s="11"/>
      <c r="BJ14" s="11"/>
      <c r="BK14" s="11"/>
      <c r="BL14" s="11"/>
      <c r="BM14" s="11"/>
      <c r="BN14" s="11"/>
      <c r="BO14" s="11"/>
      <c r="BP14" s="11"/>
      <c r="BQ14" s="11"/>
      <c r="BR14" s="11"/>
      <c r="BS14" s="11"/>
      <c r="BT14" s="11"/>
      <c r="BU14" s="11"/>
      <c r="BV14" s="11"/>
      <c r="BW14" s="11"/>
      <c r="BX14" s="11"/>
    </row>
    <row r="15" spans="1:76" s="35" customFormat="1" ht="14" x14ac:dyDescent="0.3">
      <c r="A15" s="34">
        <v>2</v>
      </c>
      <c r="B15" s="12" t="s">
        <v>71</v>
      </c>
      <c r="C15" s="12"/>
      <c r="D15" s="12"/>
      <c r="E15" s="12"/>
      <c r="F15" s="12"/>
      <c r="G15" s="12"/>
      <c r="H15" s="12"/>
      <c r="I15" s="12"/>
      <c r="J15" s="12"/>
      <c r="K15" s="12"/>
      <c r="L15" s="12"/>
      <c r="M15" s="12"/>
      <c r="N15" s="12"/>
      <c r="O15" s="12"/>
      <c r="P15" s="12"/>
      <c r="Q15" s="12"/>
      <c r="R15" s="12"/>
      <c r="S15" s="12"/>
      <c r="T15" s="12"/>
      <c r="U15" s="12"/>
      <c r="V15" s="12"/>
      <c r="W15" s="12"/>
      <c r="X15" s="12">
        <v>598388</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row>
    <row r="16" spans="1:76" s="35" customFormat="1" ht="14" x14ac:dyDescent="0.3">
      <c r="A16" s="34">
        <v>3</v>
      </c>
      <c r="B16" s="12" t="s">
        <v>71</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v>757200</v>
      </c>
      <c r="AH16" s="12">
        <v>757052</v>
      </c>
      <c r="AI16" s="12">
        <v>756909</v>
      </c>
      <c r="AJ16" s="12">
        <v>756804</v>
      </c>
      <c r="AK16" s="12">
        <v>756696</v>
      </c>
      <c r="AL16" s="12">
        <v>756585</v>
      </c>
      <c r="AM16" s="12">
        <v>756481</v>
      </c>
      <c r="AN16" s="12">
        <v>756348</v>
      </c>
      <c r="AO16" s="12">
        <v>756804</v>
      </c>
      <c r="AP16" s="12">
        <v>757595</v>
      </c>
      <c r="AQ16" s="12">
        <v>757859</v>
      </c>
      <c r="AR16" s="12">
        <v>759102</v>
      </c>
      <c r="AS16" s="12">
        <v>763352</v>
      </c>
      <c r="AT16" s="12">
        <v>763846</v>
      </c>
      <c r="AU16" s="12">
        <v>764033</v>
      </c>
      <c r="AV16" s="12">
        <v>764425</v>
      </c>
      <c r="AW16" s="12">
        <v>764809</v>
      </c>
      <c r="AX16" s="12">
        <v>765398</v>
      </c>
      <c r="AY16" s="12">
        <v>765517</v>
      </c>
      <c r="AZ16" s="12">
        <v>765751</v>
      </c>
      <c r="BA16" s="12">
        <v>765831</v>
      </c>
      <c r="BB16" s="12"/>
      <c r="BC16" s="12"/>
      <c r="BD16" s="12"/>
      <c r="BE16" s="12"/>
      <c r="BF16" s="12"/>
      <c r="BG16" s="12"/>
      <c r="BH16" s="12"/>
      <c r="BI16" s="12"/>
      <c r="BJ16" s="12"/>
      <c r="BK16" s="12"/>
      <c r="BL16" s="12"/>
      <c r="BM16" s="12"/>
      <c r="BN16" s="12"/>
      <c r="BO16" s="12"/>
      <c r="BP16" s="12"/>
      <c r="BQ16" s="12"/>
      <c r="BR16" s="12"/>
      <c r="BS16" s="12"/>
      <c r="BT16" s="12"/>
      <c r="BU16" s="12"/>
      <c r="BV16" s="12"/>
      <c r="BW16" s="12"/>
      <c r="BX16" s="12"/>
    </row>
    <row r="17" spans="1:76" s="35" customFormat="1" ht="14" x14ac:dyDescent="0.3">
      <c r="A17" s="34">
        <v>4</v>
      </c>
      <c r="B17" s="12" t="s">
        <v>71</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v>438000</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row>
    <row r="18" spans="1:76" s="35" customFormat="1" ht="14" x14ac:dyDescent="0.3">
      <c r="A18" s="34">
        <v>5</v>
      </c>
      <c r="B18" s="12" t="s">
        <v>72</v>
      </c>
      <c r="C18" s="12">
        <v>790000</v>
      </c>
      <c r="D18" s="12">
        <v>789000</v>
      </c>
      <c r="E18" s="12">
        <v>788000</v>
      </c>
      <c r="F18" s="12">
        <v>787000</v>
      </c>
      <c r="G18" s="12">
        <v>786000</v>
      </c>
      <c r="H18" s="12">
        <v>785000</v>
      </c>
      <c r="I18" s="12">
        <v>784000</v>
      </c>
      <c r="J18" s="12">
        <v>783000</v>
      </c>
      <c r="K18" s="12">
        <v>782000</v>
      </c>
      <c r="L18" s="12">
        <v>781000</v>
      </c>
      <c r="M18" s="12">
        <v>780000</v>
      </c>
      <c r="N18" s="12">
        <v>779000</v>
      </c>
      <c r="O18" s="12">
        <v>778000</v>
      </c>
      <c r="P18" s="12">
        <v>777000</v>
      </c>
      <c r="Q18" s="12">
        <v>776000</v>
      </c>
      <c r="R18" s="12">
        <v>775000</v>
      </c>
      <c r="S18" s="12">
        <v>774000</v>
      </c>
      <c r="T18" s="12">
        <v>773000</v>
      </c>
      <c r="U18" s="12">
        <v>772000</v>
      </c>
      <c r="V18" s="12">
        <v>771000</v>
      </c>
      <c r="W18" s="12">
        <v>770000</v>
      </c>
      <c r="X18" s="12">
        <v>769000</v>
      </c>
      <c r="Y18" s="12">
        <v>768000</v>
      </c>
      <c r="Z18" s="12">
        <v>767000</v>
      </c>
      <c r="AA18" s="12">
        <v>766000</v>
      </c>
      <c r="AB18" s="12">
        <v>765000</v>
      </c>
      <c r="AC18" s="12">
        <v>764000</v>
      </c>
      <c r="AD18" s="12">
        <v>763000</v>
      </c>
      <c r="AE18" s="12">
        <v>762000</v>
      </c>
      <c r="AF18" s="12">
        <v>761000</v>
      </c>
      <c r="AG18" s="12">
        <v>760000</v>
      </c>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row>
    <row r="19" spans="1:76" s="38" customFormat="1" ht="14" x14ac:dyDescent="0.3">
      <c r="A19" s="36">
        <v>6</v>
      </c>
      <c r="B19" s="37" t="s">
        <v>73</v>
      </c>
      <c r="C19" s="37">
        <v>790000</v>
      </c>
      <c r="D19" s="37">
        <v>789000</v>
      </c>
      <c r="E19" s="37">
        <v>788000</v>
      </c>
      <c r="F19" s="37">
        <v>787000</v>
      </c>
      <c r="G19" s="37">
        <v>786000</v>
      </c>
      <c r="H19" s="37">
        <v>785000</v>
      </c>
      <c r="I19" s="37">
        <v>784000</v>
      </c>
      <c r="J19" s="37">
        <v>783000</v>
      </c>
      <c r="K19" s="37">
        <v>782000</v>
      </c>
      <c r="L19" s="37">
        <v>781000</v>
      </c>
      <c r="M19" s="37">
        <v>780000</v>
      </c>
      <c r="N19" s="37">
        <v>779000</v>
      </c>
      <c r="O19" s="37">
        <v>778000</v>
      </c>
      <c r="P19" s="37">
        <v>777000</v>
      </c>
      <c r="Q19" s="37">
        <v>776000</v>
      </c>
      <c r="R19" s="37">
        <v>775000</v>
      </c>
      <c r="S19" s="37">
        <v>774000</v>
      </c>
      <c r="T19" s="37">
        <v>773000</v>
      </c>
      <c r="U19" s="37">
        <v>772000</v>
      </c>
      <c r="V19" s="37">
        <v>771000</v>
      </c>
      <c r="W19" s="37">
        <v>770000</v>
      </c>
      <c r="X19" s="37">
        <v>769000</v>
      </c>
      <c r="Y19" s="37">
        <v>768000</v>
      </c>
      <c r="Z19" s="37">
        <v>767000</v>
      </c>
      <c r="AA19" s="37">
        <v>766000</v>
      </c>
      <c r="AB19" s="37">
        <v>765000</v>
      </c>
      <c r="AC19" s="37">
        <v>764000</v>
      </c>
      <c r="AD19" s="37">
        <v>763000</v>
      </c>
      <c r="AE19" s="37">
        <v>762000</v>
      </c>
      <c r="AF19" s="37">
        <v>761000</v>
      </c>
      <c r="AG19" s="37">
        <v>757200</v>
      </c>
      <c r="AH19" s="37">
        <v>757052</v>
      </c>
      <c r="AI19" s="37">
        <v>756909</v>
      </c>
      <c r="AJ19" s="37">
        <v>756804</v>
      </c>
      <c r="AK19" s="37">
        <v>756696</v>
      </c>
      <c r="AL19" s="37">
        <v>756585</v>
      </c>
      <c r="AM19" s="37">
        <v>756481</v>
      </c>
      <c r="AN19" s="37">
        <v>756348</v>
      </c>
      <c r="AO19" s="37">
        <v>756804</v>
      </c>
      <c r="AP19" s="37">
        <v>757595</v>
      </c>
      <c r="AQ19" s="37">
        <v>757859</v>
      </c>
      <c r="AR19" s="37">
        <v>759102</v>
      </c>
      <c r="AS19" s="37">
        <v>763352</v>
      </c>
      <c r="AT19" s="37">
        <v>763846</v>
      </c>
      <c r="AU19" s="37">
        <v>764033</v>
      </c>
      <c r="AV19" s="37">
        <v>764425</v>
      </c>
      <c r="AW19" s="37">
        <v>764809</v>
      </c>
      <c r="AX19" s="37">
        <v>765398</v>
      </c>
      <c r="AY19" s="37">
        <v>765517</v>
      </c>
      <c r="AZ19" s="37">
        <v>765751</v>
      </c>
      <c r="BA19" s="37">
        <v>765826</v>
      </c>
      <c r="BB19" s="37"/>
      <c r="BC19" s="37"/>
      <c r="BD19" s="37"/>
      <c r="BE19" s="37"/>
      <c r="BF19" s="37"/>
      <c r="BG19" s="37"/>
      <c r="BH19" s="37"/>
      <c r="BI19" s="37"/>
      <c r="BJ19" s="37"/>
      <c r="BK19" s="37"/>
      <c r="BL19" s="37"/>
      <c r="BM19" s="37"/>
      <c r="BN19" s="37"/>
      <c r="BO19" s="37"/>
      <c r="BP19" s="37"/>
      <c r="BQ19" s="37"/>
      <c r="BR19" s="37"/>
      <c r="BS19" s="37"/>
      <c r="BT19" s="37"/>
      <c r="BU19" s="37"/>
      <c r="BV19" s="37"/>
      <c r="BW19" s="37"/>
      <c r="BX19" s="37"/>
    </row>
    <row r="20" spans="1:76" s="33" customFormat="1" ht="14" x14ac:dyDescent="0.3">
      <c r="A20" s="32">
        <v>7</v>
      </c>
      <c r="B20" s="11" t="s">
        <v>67</v>
      </c>
      <c r="C20" s="11">
        <v>1000</v>
      </c>
      <c r="D20" s="11">
        <v>1000</v>
      </c>
      <c r="E20" s="11">
        <v>1000</v>
      </c>
      <c r="F20" s="11">
        <v>1000</v>
      </c>
      <c r="G20" s="11">
        <v>1000</v>
      </c>
      <c r="H20" s="11">
        <v>1000</v>
      </c>
      <c r="I20" s="11">
        <v>1000</v>
      </c>
      <c r="J20" s="11">
        <v>1000</v>
      </c>
      <c r="K20" s="11">
        <v>1000</v>
      </c>
      <c r="L20" s="11">
        <v>1000</v>
      </c>
      <c r="M20" s="11">
        <v>1000</v>
      </c>
      <c r="N20" s="11">
        <v>1000</v>
      </c>
      <c r="O20" s="11">
        <v>1000</v>
      </c>
      <c r="P20" s="11">
        <v>1000</v>
      </c>
      <c r="Q20" s="11">
        <v>1000</v>
      </c>
      <c r="R20" s="11">
        <v>1000</v>
      </c>
      <c r="S20" s="11">
        <v>1000</v>
      </c>
      <c r="T20" s="11">
        <v>1000</v>
      </c>
      <c r="U20" s="11">
        <v>1000</v>
      </c>
      <c r="V20" s="11">
        <v>1000</v>
      </c>
      <c r="W20" s="11">
        <v>1000</v>
      </c>
      <c r="X20" s="11">
        <v>1000</v>
      </c>
      <c r="Y20" s="11">
        <v>1000</v>
      </c>
      <c r="Z20" s="11">
        <v>1000</v>
      </c>
      <c r="AA20" s="11">
        <v>1000</v>
      </c>
      <c r="AB20" s="11">
        <v>1000</v>
      </c>
      <c r="AC20" s="11">
        <v>1000</v>
      </c>
      <c r="AD20" s="11">
        <v>1000</v>
      </c>
      <c r="AE20" s="11">
        <v>1000</v>
      </c>
      <c r="AF20" s="11">
        <v>1000</v>
      </c>
      <c r="AG20" s="11">
        <v>3800</v>
      </c>
      <c r="AH20" s="11">
        <v>148</v>
      </c>
      <c r="AI20" s="11">
        <v>143</v>
      </c>
      <c r="AJ20" s="11">
        <v>105</v>
      </c>
      <c r="AK20" s="11">
        <v>108</v>
      </c>
      <c r="AL20" s="11">
        <v>111</v>
      </c>
      <c r="AM20" s="11">
        <v>104</v>
      </c>
      <c r="AN20" s="11">
        <v>133</v>
      </c>
      <c r="AO20" s="11">
        <v>-456</v>
      </c>
      <c r="AP20" s="11">
        <v>-791</v>
      </c>
      <c r="AQ20" s="11">
        <v>-264</v>
      </c>
      <c r="AR20" s="11">
        <v>-1243</v>
      </c>
      <c r="AS20" s="11">
        <v>-4250</v>
      </c>
      <c r="AT20" s="11">
        <v>-494</v>
      </c>
      <c r="AU20" s="11">
        <v>-187</v>
      </c>
      <c r="AV20" s="11">
        <v>-392</v>
      </c>
      <c r="AW20" s="11">
        <v>-384</v>
      </c>
      <c r="AX20" s="11">
        <v>-589</v>
      </c>
      <c r="AY20" s="11">
        <v>-119</v>
      </c>
      <c r="AZ20" s="11">
        <v>-234</v>
      </c>
      <c r="BA20" s="11">
        <v>76</v>
      </c>
      <c r="BB20" s="11"/>
      <c r="BC20" s="11"/>
      <c r="BD20" s="11"/>
      <c r="BE20" s="11"/>
      <c r="BF20" s="11"/>
      <c r="BG20" s="11"/>
      <c r="BH20" s="11"/>
      <c r="BI20" s="11"/>
      <c r="BJ20" s="11"/>
      <c r="BK20" s="11"/>
      <c r="BL20" s="11"/>
      <c r="BM20" s="11"/>
      <c r="BN20" s="11"/>
      <c r="BO20" s="11"/>
      <c r="BP20" s="11"/>
      <c r="BQ20" s="11"/>
      <c r="BR20" s="11"/>
      <c r="BS20" s="11"/>
      <c r="BT20" s="11"/>
      <c r="BU20" s="11"/>
      <c r="BV20" s="11"/>
      <c r="BW20" s="11"/>
      <c r="BX20" s="11"/>
    </row>
    <row r="21" spans="1:76" s="40" customFormat="1" ht="14" x14ac:dyDescent="0.3">
      <c r="A21" s="34">
        <v>8</v>
      </c>
      <c r="B21" s="39" t="s">
        <v>74</v>
      </c>
      <c r="C21" s="39">
        <v>2357.9176378918205</v>
      </c>
      <c r="D21" s="39">
        <v>2405.0759906496601</v>
      </c>
      <c r="E21" s="39">
        <v>2453.1775104626499</v>
      </c>
      <c r="F21" s="39">
        <v>2502.2410606719031</v>
      </c>
      <c r="G21" s="39">
        <v>2552.285881885341</v>
      </c>
      <c r="H21" s="39">
        <v>2603.3315995230478</v>
      </c>
      <c r="I21" s="39">
        <v>2655.3982315135086</v>
      </c>
      <c r="J21" s="39">
        <v>2708.5061961437787</v>
      </c>
      <c r="K21" s="39">
        <v>2762.6763200666542</v>
      </c>
      <c r="L21" s="39">
        <v>2817.9298464679873</v>
      </c>
      <c r="M21" s="39">
        <v>2874.2884433973472</v>
      </c>
      <c r="N21" s="39">
        <v>2931.7742122652944</v>
      </c>
      <c r="O21" s="39">
        <v>2990.4096965106005</v>
      </c>
      <c r="P21" s="39">
        <v>3050.2178904408124</v>
      </c>
      <c r="Q21" s="39">
        <v>3111.2222482496286</v>
      </c>
      <c r="R21" s="39">
        <v>3173.4466932146211</v>
      </c>
      <c r="S21" s="39">
        <v>3236.9156270789135</v>
      </c>
      <c r="T21" s="39">
        <v>3301.6539396204917</v>
      </c>
      <c r="U21" s="39">
        <v>3367.6870184129016</v>
      </c>
      <c r="V21" s="39">
        <v>3435.0407587811596</v>
      </c>
      <c r="W21" s="39">
        <v>3503.7415739567828</v>
      </c>
      <c r="X21" s="39">
        <v>3573.8164054359186</v>
      </c>
      <c r="Y21" s="39">
        <v>3645.292733544637</v>
      </c>
      <c r="Z21" s="39">
        <v>3718.19858821553</v>
      </c>
      <c r="AA21" s="39">
        <v>3792.5625599798404</v>
      </c>
      <c r="AB21" s="39">
        <v>3868.4138111794373</v>
      </c>
      <c r="AC21" s="39">
        <v>3945.7820874030263</v>
      </c>
      <c r="AD21" s="39">
        <v>4024.6977291510871</v>
      </c>
      <c r="AE21" s="39">
        <v>4105.1916837341087</v>
      </c>
      <c r="AF21" s="39">
        <v>4187.2955174087911</v>
      </c>
      <c r="AG21" s="39">
        <v>4271.0414277569671</v>
      </c>
      <c r="AH21" s="39">
        <v>4356.4622563121065</v>
      </c>
      <c r="AI21" s="39">
        <v>4443.591501438349</v>
      </c>
      <c r="AJ21" s="39">
        <v>4532.4633314671164</v>
      </c>
      <c r="AK21" s="39">
        <v>4623.1125980964589</v>
      </c>
      <c r="AL21" s="39">
        <v>4715.5748500583877</v>
      </c>
      <c r="AM21" s="39">
        <v>4809.8863470595552</v>
      </c>
      <c r="AN21" s="39">
        <v>4906.0840740007461</v>
      </c>
      <c r="AO21" s="39">
        <v>5004.2057554807607</v>
      </c>
      <c r="AP21" s="39">
        <v>5104.2898705903763</v>
      </c>
      <c r="AQ21" s="39">
        <v>5206.3756680021843</v>
      </c>
      <c r="AR21" s="39">
        <v>5310.5031813622281</v>
      </c>
      <c r="AS21" s="39">
        <v>5416.7132449894725</v>
      </c>
      <c r="AT21" s="39">
        <v>5525.0475098892621</v>
      </c>
      <c r="AU21" s="39">
        <v>5635.5484600870477</v>
      </c>
      <c r="AV21" s="39">
        <v>5748.2594292887889</v>
      </c>
      <c r="AW21" s="39">
        <v>5863.2246178745645</v>
      </c>
      <c r="AX21" s="39">
        <v>5980.4891102320562</v>
      </c>
      <c r="AY21" s="39">
        <v>6100.0988924366975</v>
      </c>
      <c r="AZ21" s="39">
        <v>6222.1008702854315</v>
      </c>
      <c r="BA21" s="39">
        <v>6346.5428876911401</v>
      </c>
      <c r="BB21" s="39"/>
      <c r="BC21" s="39"/>
      <c r="BD21" s="39"/>
      <c r="BE21" s="39"/>
      <c r="BF21" s="39"/>
      <c r="BG21" s="39"/>
      <c r="BH21" s="39"/>
      <c r="BI21" s="39"/>
      <c r="BJ21" s="39"/>
      <c r="BK21" s="39"/>
      <c r="BL21" s="39"/>
      <c r="BM21" s="39"/>
      <c r="BN21" s="39"/>
      <c r="BO21" s="39"/>
      <c r="BP21" s="39"/>
      <c r="BQ21" s="39"/>
      <c r="BR21" s="39"/>
      <c r="BS21" s="39"/>
      <c r="BT21" s="39"/>
      <c r="BU21" s="39"/>
      <c r="BV21" s="39"/>
      <c r="BW21" s="39"/>
      <c r="BX21" s="39"/>
    </row>
    <row r="22" spans="1:76" s="42" customFormat="1" ht="14" x14ac:dyDescent="0.3">
      <c r="A22" s="34">
        <v>9</v>
      </c>
      <c r="B22" s="41" t="s">
        <v>75</v>
      </c>
      <c r="C22" s="41">
        <v>2357917.6378918206</v>
      </c>
      <c r="D22" s="41">
        <v>2405075.9906496569</v>
      </c>
      <c r="E22" s="41">
        <v>2453177.5104626501</v>
      </c>
      <c r="F22" s="41">
        <v>2502241.0606719032</v>
      </c>
      <c r="G22" s="41">
        <v>2552285.8818853409</v>
      </c>
      <c r="H22" s="41">
        <v>2603331.5995230479</v>
      </c>
      <c r="I22" s="41">
        <v>2655398.2315135086</v>
      </c>
      <c r="J22" s="41">
        <v>2708506.1961437785</v>
      </c>
      <c r="K22" s="41">
        <v>2762676.3200666541</v>
      </c>
      <c r="L22" s="41">
        <v>2817929.8464679872</v>
      </c>
      <c r="M22" s="41">
        <v>2874288.4433973473</v>
      </c>
      <c r="N22" s="41">
        <v>2931774.2122652945</v>
      </c>
      <c r="O22" s="41">
        <v>2990409.6965106004</v>
      </c>
      <c r="P22" s="41">
        <v>3050217.8904408123</v>
      </c>
      <c r="Q22" s="41">
        <v>3111222.2482496286</v>
      </c>
      <c r="R22" s="41">
        <v>3173446.6932146209</v>
      </c>
      <c r="S22" s="41">
        <v>3236915.6270789136</v>
      </c>
      <c r="T22" s="41">
        <v>3301653.9396204916</v>
      </c>
      <c r="U22" s="41">
        <v>3367687.0184129016</v>
      </c>
      <c r="V22" s="41">
        <v>3435040.7587811598</v>
      </c>
      <c r="W22" s="41">
        <v>3503741.5739567829</v>
      </c>
      <c r="X22" s="41">
        <v>3573816.4054359184</v>
      </c>
      <c r="Y22" s="41">
        <v>3645292.733544637</v>
      </c>
      <c r="Z22" s="41">
        <v>3718198.5882155299</v>
      </c>
      <c r="AA22" s="41">
        <v>3792562.5599798406</v>
      </c>
      <c r="AB22" s="41">
        <v>3868413.8111794372</v>
      </c>
      <c r="AC22" s="41">
        <v>3945782.0874030264</v>
      </c>
      <c r="AD22" s="41">
        <v>4024697.7291510869</v>
      </c>
      <c r="AE22" s="41">
        <v>4105191.6837341087</v>
      </c>
      <c r="AF22" s="41">
        <v>4187295.517408791</v>
      </c>
      <c r="AG22" s="41">
        <v>16229957.425476475</v>
      </c>
      <c r="AH22" s="41">
        <v>644756.41393419181</v>
      </c>
      <c r="AI22" s="41">
        <v>635433.58470568387</v>
      </c>
      <c r="AJ22" s="41">
        <v>475908.64980404725</v>
      </c>
      <c r="AK22" s="41">
        <v>499296.16059441754</v>
      </c>
      <c r="AL22" s="41">
        <v>523428.80835648102</v>
      </c>
      <c r="AM22" s="41">
        <v>500228.18009419373</v>
      </c>
      <c r="AN22" s="41">
        <v>652509.18184209918</v>
      </c>
      <c r="AO22" s="41">
        <v>-2281917.8244992266</v>
      </c>
      <c r="AP22" s="41">
        <v>-4037493.2876369874</v>
      </c>
      <c r="AQ22" s="41">
        <v>-1374483.1763525766</v>
      </c>
      <c r="AR22" s="41">
        <v>-6600955.4544332493</v>
      </c>
      <c r="AS22" s="41">
        <v>-23021031.291205257</v>
      </c>
      <c r="AT22" s="41">
        <v>-2729373.4698852953</v>
      </c>
      <c r="AU22" s="41">
        <v>-1053847.562036278</v>
      </c>
      <c r="AV22" s="41">
        <v>-2253317.6962812054</v>
      </c>
      <c r="AW22" s="41">
        <v>-2251478.253263833</v>
      </c>
      <c r="AX22" s="41">
        <v>-3522508.0859266813</v>
      </c>
      <c r="AY22" s="41">
        <v>-725911.76819996699</v>
      </c>
      <c r="AZ22" s="41">
        <v>-1455971.6036467911</v>
      </c>
      <c r="BA22" s="41">
        <v>-507723.43101529119</v>
      </c>
      <c r="BB22" s="41"/>
      <c r="BC22" s="41"/>
      <c r="BD22" s="41"/>
      <c r="BE22" s="41"/>
      <c r="BF22" s="41"/>
      <c r="BG22" s="41"/>
      <c r="BH22" s="41"/>
      <c r="BI22" s="41"/>
      <c r="BJ22" s="41"/>
      <c r="BK22" s="41"/>
      <c r="BL22" s="41"/>
      <c r="BM22" s="41"/>
      <c r="BN22" s="41"/>
      <c r="BO22" s="41"/>
      <c r="BP22" s="41"/>
      <c r="BQ22" s="41"/>
      <c r="BR22" s="41"/>
      <c r="BS22" s="41"/>
      <c r="BT22" s="41"/>
      <c r="BU22" s="41"/>
      <c r="BV22" s="41"/>
      <c r="BW22" s="41"/>
      <c r="BX22" s="41"/>
    </row>
    <row r="23" spans="1:76" customFormat="1" ht="14" x14ac:dyDescent="0.3">
      <c r="A23" s="43"/>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row>
    <row r="24" spans="1:76" customFormat="1" ht="14" x14ac:dyDescent="0.3">
      <c r="A24" s="43"/>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row>
    <row r="25" spans="1:76" s="4" customFormat="1" x14ac:dyDescent="0.25">
      <c r="A25" s="25"/>
      <c r="B25" s="5" t="s">
        <v>76</v>
      </c>
      <c r="C25" s="44" t="s">
        <v>77</v>
      </c>
      <c r="D25" s="44">
        <v>1950</v>
      </c>
      <c r="E25" s="44">
        <v>1951</v>
      </c>
      <c r="F25" s="44">
        <v>1952</v>
      </c>
      <c r="G25" s="44">
        <v>1953</v>
      </c>
      <c r="H25" s="44">
        <v>1954</v>
      </c>
      <c r="I25" s="44">
        <v>1955</v>
      </c>
      <c r="J25" s="44">
        <v>1956</v>
      </c>
      <c r="K25" s="44">
        <v>1957</v>
      </c>
      <c r="L25" s="44">
        <v>1958</v>
      </c>
      <c r="M25" s="44">
        <v>1959</v>
      </c>
      <c r="N25" s="4">
        <v>1960</v>
      </c>
      <c r="O25" s="4">
        <v>1961</v>
      </c>
      <c r="P25" s="4">
        <v>1962</v>
      </c>
      <c r="Q25" s="4">
        <v>1963</v>
      </c>
      <c r="R25" s="4">
        <v>1964</v>
      </c>
      <c r="S25" s="4">
        <v>1965</v>
      </c>
      <c r="T25" s="4">
        <v>1966</v>
      </c>
      <c r="U25" s="4">
        <v>1967</v>
      </c>
      <c r="V25" s="4">
        <v>1968</v>
      </c>
      <c r="W25" s="4">
        <v>1969</v>
      </c>
      <c r="X25" s="4">
        <v>1970</v>
      </c>
      <c r="Y25" s="4">
        <v>1971</v>
      </c>
      <c r="Z25" s="4">
        <v>1972</v>
      </c>
      <c r="AA25" s="4">
        <v>1973</v>
      </c>
      <c r="AB25" s="4">
        <v>1974</v>
      </c>
      <c r="AC25" s="4">
        <v>1975</v>
      </c>
      <c r="AD25" s="4">
        <v>1976</v>
      </c>
      <c r="AE25" s="4">
        <v>1977</v>
      </c>
      <c r="AF25" s="4">
        <v>1978</v>
      </c>
      <c r="AG25" s="4">
        <v>1979</v>
      </c>
      <c r="AH25" s="4">
        <v>1980</v>
      </c>
      <c r="AI25" s="4">
        <v>1981</v>
      </c>
      <c r="AJ25" s="4">
        <v>1982</v>
      </c>
      <c r="AK25" s="4">
        <v>1983</v>
      </c>
      <c r="AL25" s="4">
        <v>1984</v>
      </c>
      <c r="AM25" s="4">
        <v>1985</v>
      </c>
      <c r="AN25" s="4">
        <v>1986</v>
      </c>
      <c r="AO25" s="4">
        <v>1987</v>
      </c>
      <c r="AP25" s="4">
        <v>1988</v>
      </c>
      <c r="AQ25" s="4">
        <v>1989</v>
      </c>
      <c r="AR25" s="4">
        <v>1990</v>
      </c>
      <c r="AS25" s="4">
        <v>1991</v>
      </c>
      <c r="AT25" s="4">
        <v>1992</v>
      </c>
      <c r="AU25" s="4">
        <v>1993</v>
      </c>
      <c r="AV25" s="4">
        <v>1994</v>
      </c>
      <c r="AW25" s="4">
        <v>1995</v>
      </c>
      <c r="AX25" s="4">
        <v>1996</v>
      </c>
      <c r="AY25" s="4">
        <v>1997</v>
      </c>
      <c r="AZ25" s="4">
        <v>1998</v>
      </c>
      <c r="BA25" s="4">
        <v>1999</v>
      </c>
      <c r="BB25" s="4">
        <v>2000</v>
      </c>
      <c r="BC25" s="4">
        <v>2001</v>
      </c>
      <c r="BD25" s="4">
        <v>2002</v>
      </c>
      <c r="BE25" s="4">
        <v>2003</v>
      </c>
      <c r="BF25" s="4">
        <v>2004</v>
      </c>
      <c r="BG25" s="4">
        <v>2005</v>
      </c>
      <c r="BH25" s="4">
        <v>2006</v>
      </c>
      <c r="BI25" s="4">
        <v>2007</v>
      </c>
      <c r="BJ25" s="4">
        <v>2008</v>
      </c>
      <c r="BK25" s="4">
        <v>2009</v>
      </c>
      <c r="BL25" s="4">
        <v>2010</v>
      </c>
      <c r="BM25" s="4">
        <v>2011</v>
      </c>
      <c r="BN25" s="4">
        <v>2012</v>
      </c>
      <c r="BO25" s="4">
        <v>2013</v>
      </c>
    </row>
    <row r="26" spans="1:76" s="13" customFormat="1" x14ac:dyDescent="0.25">
      <c r="A26" s="26">
        <v>1</v>
      </c>
      <c r="B26" s="13" t="s">
        <v>78</v>
      </c>
      <c r="D26" s="13">
        <f>D34/1000000000</f>
        <v>0.15840000000000001</v>
      </c>
      <c r="E26" s="13">
        <f>D26+E34/1000000000</f>
        <v>0.16037300000000002</v>
      </c>
      <c r="F26" s="13">
        <f t="shared" ref="F26:BM26" si="1">E26+F34/1000000000</f>
        <v>0.16238546000000001</v>
      </c>
      <c r="G26" s="13">
        <f t="shared" si="1"/>
        <v>0.16443816920000001</v>
      </c>
      <c r="H26" s="13">
        <f t="shared" si="1"/>
        <v>0.16653193258400001</v>
      </c>
      <c r="I26" s="13">
        <f t="shared" si="1"/>
        <v>0.16866757123568002</v>
      </c>
      <c r="J26" s="13">
        <f t="shared" si="1"/>
        <v>0.17084592266039361</v>
      </c>
      <c r="K26" s="13">
        <f t="shared" si="1"/>
        <v>0.17306784111360149</v>
      </c>
      <c r="L26" s="13">
        <f t="shared" si="1"/>
        <v>0.17533419793587351</v>
      </c>
      <c r="M26" s="13">
        <f t="shared" si="1"/>
        <v>0.17764588189459099</v>
      </c>
      <c r="N26" s="13">
        <f t="shared" si="1"/>
        <v>0.1800037995324828</v>
      </c>
      <c r="O26" s="13">
        <f t="shared" si="1"/>
        <v>0.18240887552313245</v>
      </c>
      <c r="P26" s="13">
        <f t="shared" si="1"/>
        <v>0.1848620530335951</v>
      </c>
      <c r="Q26" s="13">
        <f t="shared" si="1"/>
        <v>0.187364294094267</v>
      </c>
      <c r="R26" s="13">
        <f t="shared" si="1"/>
        <v>0.18991657997615233</v>
      </c>
      <c r="S26" s="13">
        <f t="shared" si="1"/>
        <v>0.19251991157567538</v>
      </c>
      <c r="T26" s="13">
        <f>S26+T34/1000000000</f>
        <v>0.19517530980718889</v>
      </c>
      <c r="U26" s="13">
        <f t="shared" si="1"/>
        <v>0.19788381600333266</v>
      </c>
      <c r="V26" s="13">
        <f t="shared" si="1"/>
        <v>0.20064649232339932</v>
      </c>
      <c r="W26" s="13">
        <f t="shared" si="1"/>
        <v>0.20346442216986729</v>
      </c>
      <c r="X26" s="13">
        <f t="shared" si="1"/>
        <v>0.20633871061326464</v>
      </c>
      <c r="Y26" s="13">
        <f t="shared" si="1"/>
        <v>0.20927048482552993</v>
      </c>
      <c r="Z26" s="13">
        <f t="shared" si="1"/>
        <v>0.21226089452204053</v>
      </c>
      <c r="AA26" s="13">
        <f t="shared" si="1"/>
        <v>0.21531111241248135</v>
      </c>
      <c r="AB26" s="13">
        <f t="shared" si="1"/>
        <v>0.21842233466073099</v>
      </c>
      <c r="AC26" s="13">
        <f t="shared" si="1"/>
        <v>0.22159578135394561</v>
      </c>
      <c r="AD26" s="13">
        <f t="shared" si="1"/>
        <v>0.22483269698102454</v>
      </c>
      <c r="AE26" s="13">
        <f t="shared" si="1"/>
        <v>0.22813435092064502</v>
      </c>
      <c r="AF26" s="13">
        <f t="shared" si="1"/>
        <v>0.23150203793905791</v>
      </c>
      <c r="AG26" s="13">
        <f t="shared" si="1"/>
        <v>0.23493707869783906</v>
      </c>
      <c r="AH26" s="13">
        <f t="shared" si="1"/>
        <v>0.23844082027179583</v>
      </c>
      <c r="AI26" s="13">
        <f t="shared" si="1"/>
        <v>0.24201463667723175</v>
      </c>
      <c r="AJ26" s="13">
        <f t="shared" si="1"/>
        <v>0.24565992941077638</v>
      </c>
      <c r="AK26" s="13">
        <f t="shared" si="1"/>
        <v>0.24937812799899192</v>
      </c>
      <c r="AL26" s="13">
        <f t="shared" si="1"/>
        <v>0.25317069055897179</v>
      </c>
      <c r="AM26" s="13">
        <f t="shared" si="1"/>
        <v>0.25703910437015121</v>
      </c>
      <c r="AN26" s="13">
        <f t="shared" si="1"/>
        <v>0.26098488645755424</v>
      </c>
      <c r="AO26" s="13">
        <f t="shared" si="1"/>
        <v>0.26500958418670534</v>
      </c>
      <c r="AP26" s="13">
        <f t="shared" si="1"/>
        <v>0.26911477587043947</v>
      </c>
      <c r="AQ26" s="13">
        <f t="shared" si="1"/>
        <v>0.27330207138784829</v>
      </c>
      <c r="AR26" s="13">
        <f t="shared" si="1"/>
        <v>0.28953202881332474</v>
      </c>
      <c r="AS26" s="13">
        <f t="shared" si="1"/>
        <v>0.29017678522725893</v>
      </c>
      <c r="AT26" s="13">
        <f t="shared" si="1"/>
        <v>0.29081221881196462</v>
      </c>
      <c r="AU26" s="13">
        <f t="shared" si="1"/>
        <v>0.29128812746176869</v>
      </c>
      <c r="AV26" s="13">
        <f t="shared" si="1"/>
        <v>0.2917874236223631</v>
      </c>
      <c r="AW26" s="13">
        <f t="shared" si="1"/>
        <v>0.29231085243071958</v>
      </c>
      <c r="AX26" s="13">
        <f t="shared" si="1"/>
        <v>0.29281108061081379</v>
      </c>
      <c r="AY26" s="13">
        <f t="shared" si="1"/>
        <v>0.29346358979265591</v>
      </c>
      <c r="AZ26" s="13">
        <f t="shared" si="1"/>
        <v>0.2911816719681567</v>
      </c>
      <c r="BA26" s="13">
        <f t="shared" si="1"/>
        <v>0.28714417868051972</v>
      </c>
      <c r="BB26" s="13">
        <f t="shared" si="1"/>
        <v>0.28576969550416714</v>
      </c>
      <c r="BC26" s="13">
        <f t="shared" si="1"/>
        <v>0.27916874004973391</v>
      </c>
      <c r="BD26" s="13">
        <f t="shared" si="1"/>
        <v>0.25614770875852866</v>
      </c>
      <c r="BE26" s="13">
        <f t="shared" si="1"/>
        <v>0.25341833528864338</v>
      </c>
      <c r="BF26" s="13">
        <f t="shared" si="1"/>
        <v>0.25236448772660708</v>
      </c>
      <c r="BG26" s="13">
        <f t="shared" si="1"/>
        <v>0.25011117003032585</v>
      </c>
      <c r="BH26" s="13">
        <f t="shared" si="1"/>
        <v>0.24785969177706202</v>
      </c>
      <c r="BI26" s="13">
        <f t="shared" si="1"/>
        <v>0.24433718369113533</v>
      </c>
      <c r="BJ26" s="13">
        <f t="shared" si="1"/>
        <v>0.24361127192293536</v>
      </c>
      <c r="BK26" s="13">
        <f t="shared" si="1"/>
        <v>0.24216152242015884</v>
      </c>
      <c r="BL26" s="13">
        <f t="shared" si="1"/>
        <v>0.24167918516069431</v>
      </c>
      <c r="BM26" s="13">
        <f t="shared" si="1"/>
        <v>0.24173744642440331</v>
      </c>
      <c r="BN26" s="13">
        <f>BM26+BN34/1000000000</f>
        <v>0.24184969645914933</v>
      </c>
      <c r="BO26" s="13">
        <f>BN26+BO34/1000000000</f>
        <v>0.24102768945470426</v>
      </c>
    </row>
    <row r="27" spans="1:76" x14ac:dyDescent="0.25">
      <c r="A27" s="31">
        <v>2</v>
      </c>
      <c r="B27" s="7" t="s">
        <v>71</v>
      </c>
      <c r="C27" s="45">
        <v>1200000</v>
      </c>
      <c r="D27" s="45"/>
      <c r="E27" s="45"/>
      <c r="F27" s="45"/>
      <c r="G27" s="45"/>
      <c r="H27" s="45"/>
      <c r="I27" s="45"/>
      <c r="J27" s="45"/>
      <c r="K27" s="45"/>
      <c r="L27" s="45"/>
      <c r="M27" s="45"/>
      <c r="AI27" s="7">
        <v>598388</v>
      </c>
    </row>
    <row r="28" spans="1:76" s="14" customFormat="1" x14ac:dyDescent="0.25">
      <c r="A28" s="31">
        <v>3</v>
      </c>
      <c r="B28" s="14" t="s">
        <v>71</v>
      </c>
      <c r="C28" s="46"/>
      <c r="D28" s="46">
        <v>800000</v>
      </c>
      <c r="E28" s="46"/>
      <c r="F28" s="46"/>
      <c r="G28" s="46"/>
      <c r="H28" s="46"/>
      <c r="I28" s="46"/>
      <c r="J28" s="46"/>
      <c r="K28" s="46"/>
      <c r="L28" s="46"/>
      <c r="M28" s="46"/>
      <c r="AR28" s="14">
        <v>757200</v>
      </c>
      <c r="AS28" s="14">
        <v>757052</v>
      </c>
      <c r="AT28" s="14">
        <v>756909</v>
      </c>
      <c r="AU28" s="14">
        <v>756804</v>
      </c>
      <c r="AV28" s="14">
        <v>756696</v>
      </c>
      <c r="AW28" s="14">
        <v>756585</v>
      </c>
      <c r="AX28" s="14">
        <v>756481</v>
      </c>
      <c r="AY28" s="14">
        <v>756348</v>
      </c>
      <c r="AZ28" s="14">
        <v>756804</v>
      </c>
      <c r="BA28" s="14">
        <v>757595</v>
      </c>
      <c r="BB28" s="14">
        <v>757859</v>
      </c>
      <c r="BC28" s="14">
        <v>759102</v>
      </c>
      <c r="BD28" s="14">
        <v>763352</v>
      </c>
      <c r="BE28" s="14">
        <v>763846</v>
      </c>
      <c r="BF28" s="14">
        <v>764033</v>
      </c>
      <c r="BG28" s="14">
        <v>764425</v>
      </c>
      <c r="BH28" s="14">
        <v>764809</v>
      </c>
      <c r="BI28" s="14">
        <v>765398</v>
      </c>
      <c r="BJ28" s="14">
        <v>765517</v>
      </c>
      <c r="BK28" s="14">
        <v>765751</v>
      </c>
    </row>
    <row r="29" spans="1:76" s="14" customFormat="1" x14ac:dyDescent="0.25">
      <c r="A29" s="31">
        <v>4</v>
      </c>
      <c r="B29" s="14" t="s">
        <v>71</v>
      </c>
      <c r="C29" s="46"/>
      <c r="D29" s="46"/>
      <c r="E29" s="46"/>
      <c r="F29" s="46"/>
      <c r="G29" s="46"/>
      <c r="H29" s="46"/>
      <c r="I29" s="46"/>
      <c r="J29" s="46"/>
      <c r="K29" s="46"/>
      <c r="L29" s="46"/>
      <c r="M29" s="46"/>
      <c r="AN29" s="14">
        <v>438000</v>
      </c>
    </row>
    <row r="30" spans="1:76" s="14" customFormat="1" x14ac:dyDescent="0.25">
      <c r="A30" s="31">
        <v>5</v>
      </c>
      <c r="B30" s="14" t="s">
        <v>72</v>
      </c>
      <c r="C30" s="46"/>
      <c r="D30" s="46">
        <v>800000</v>
      </c>
      <c r="E30" s="46">
        <f>D30-1000</f>
        <v>799000</v>
      </c>
      <c r="F30" s="46">
        <f>E30-1000</f>
        <v>798000</v>
      </c>
      <c r="G30" s="46">
        <f t="shared" ref="G30:P30" si="2">F30-1000</f>
        <v>797000</v>
      </c>
      <c r="H30" s="46">
        <f t="shared" si="2"/>
        <v>796000</v>
      </c>
      <c r="I30" s="46">
        <f t="shared" si="2"/>
        <v>795000</v>
      </c>
      <c r="J30" s="46">
        <f t="shared" si="2"/>
        <v>794000</v>
      </c>
      <c r="K30" s="46">
        <f t="shared" si="2"/>
        <v>793000</v>
      </c>
      <c r="L30" s="46">
        <f t="shared" si="2"/>
        <v>792000</v>
      </c>
      <c r="M30" s="46">
        <f t="shared" si="2"/>
        <v>791000</v>
      </c>
      <c r="N30" s="14">
        <f t="shared" si="2"/>
        <v>790000</v>
      </c>
      <c r="O30" s="14">
        <f t="shared" si="2"/>
        <v>789000</v>
      </c>
      <c r="P30" s="14">
        <f t="shared" si="2"/>
        <v>788000</v>
      </c>
      <c r="Q30" s="14">
        <f>P30-1000</f>
        <v>787000</v>
      </c>
      <c r="R30" s="14">
        <f>Q30-1000</f>
        <v>786000</v>
      </c>
      <c r="S30" s="14">
        <f t="shared" ref="S30:Z30" si="3">R30-1000</f>
        <v>785000</v>
      </c>
      <c r="T30" s="14">
        <f t="shared" si="3"/>
        <v>784000</v>
      </c>
      <c r="U30" s="14">
        <f t="shared" si="3"/>
        <v>783000</v>
      </c>
      <c r="V30" s="14">
        <f t="shared" si="3"/>
        <v>782000</v>
      </c>
      <c r="W30" s="14">
        <f t="shared" si="3"/>
        <v>781000</v>
      </c>
      <c r="X30" s="14">
        <f t="shared" si="3"/>
        <v>780000</v>
      </c>
      <c r="Y30" s="14">
        <f t="shared" si="3"/>
        <v>779000</v>
      </c>
      <c r="Z30" s="14">
        <f t="shared" si="3"/>
        <v>778000</v>
      </c>
      <c r="AA30" s="14">
        <f>Z30-1000</f>
        <v>777000</v>
      </c>
      <c r="AB30" s="14">
        <f>AA30-1000</f>
        <v>776000</v>
      </c>
      <c r="AC30" s="14">
        <f t="shared" ref="AC30:AR30" si="4">AB30-1000</f>
        <v>775000</v>
      </c>
      <c r="AD30" s="14">
        <f t="shared" si="4"/>
        <v>774000</v>
      </c>
      <c r="AE30" s="14">
        <f t="shared" si="4"/>
        <v>773000</v>
      </c>
      <c r="AF30" s="14">
        <f t="shared" si="4"/>
        <v>772000</v>
      </c>
      <c r="AG30" s="14">
        <f t="shared" si="4"/>
        <v>771000</v>
      </c>
      <c r="AH30" s="14">
        <f t="shared" si="4"/>
        <v>770000</v>
      </c>
      <c r="AI30" s="14">
        <f t="shared" si="4"/>
        <v>769000</v>
      </c>
      <c r="AJ30" s="14">
        <f t="shared" si="4"/>
        <v>768000</v>
      </c>
      <c r="AK30" s="14">
        <f t="shared" si="4"/>
        <v>767000</v>
      </c>
      <c r="AL30" s="14">
        <f t="shared" si="4"/>
        <v>766000</v>
      </c>
      <c r="AM30" s="14">
        <f t="shared" si="4"/>
        <v>765000</v>
      </c>
      <c r="AN30" s="14">
        <f t="shared" si="4"/>
        <v>764000</v>
      </c>
      <c r="AO30" s="14">
        <f t="shared" si="4"/>
        <v>763000</v>
      </c>
      <c r="AP30" s="14">
        <f t="shared" si="4"/>
        <v>762000</v>
      </c>
      <c r="AQ30" s="14">
        <f t="shared" si="4"/>
        <v>761000</v>
      </c>
      <c r="AR30" s="14">
        <f t="shared" si="4"/>
        <v>760000</v>
      </c>
    </row>
    <row r="31" spans="1:76" s="14" customFormat="1" ht="15" x14ac:dyDescent="0.3">
      <c r="A31" s="31">
        <v>6</v>
      </c>
      <c r="B31" s="14" t="s">
        <v>79</v>
      </c>
      <c r="C31" s="46">
        <v>1200000</v>
      </c>
      <c r="D31" s="46">
        <v>800000</v>
      </c>
      <c r="E31" s="46">
        <v>799000</v>
      </c>
      <c r="F31" s="46">
        <v>798000</v>
      </c>
      <c r="G31" s="46">
        <v>797000</v>
      </c>
      <c r="H31" s="46">
        <v>796000</v>
      </c>
      <c r="I31" s="46">
        <v>795000</v>
      </c>
      <c r="J31" s="46">
        <v>794000</v>
      </c>
      <c r="K31" s="46">
        <v>793000</v>
      </c>
      <c r="L31" s="46">
        <v>792000</v>
      </c>
      <c r="M31" s="46">
        <v>791000</v>
      </c>
      <c r="N31" s="14">
        <v>790000</v>
      </c>
      <c r="O31" s="14">
        <v>789000</v>
      </c>
      <c r="P31" s="14">
        <v>788000</v>
      </c>
      <c r="Q31" s="14">
        <v>787000</v>
      </c>
      <c r="R31" s="14">
        <v>786000</v>
      </c>
      <c r="S31" s="14">
        <v>785000</v>
      </c>
      <c r="T31" s="14">
        <v>784000</v>
      </c>
      <c r="U31" s="14">
        <v>783000</v>
      </c>
      <c r="V31" s="14">
        <v>782000</v>
      </c>
      <c r="W31" s="14">
        <v>781000</v>
      </c>
      <c r="X31" s="14">
        <v>780000</v>
      </c>
      <c r="Y31" s="14">
        <v>779000</v>
      </c>
      <c r="Z31" s="14">
        <v>778000</v>
      </c>
      <c r="AA31" s="14">
        <v>777000</v>
      </c>
      <c r="AB31" s="14">
        <v>776000</v>
      </c>
      <c r="AC31" s="14">
        <v>775000</v>
      </c>
      <c r="AD31" s="14">
        <v>774000</v>
      </c>
      <c r="AE31" s="14">
        <v>773000</v>
      </c>
      <c r="AF31" s="14">
        <v>772000</v>
      </c>
      <c r="AG31" s="14">
        <v>771000</v>
      </c>
      <c r="AH31" s="14">
        <v>770000</v>
      </c>
      <c r="AI31" s="14">
        <v>769000</v>
      </c>
      <c r="AJ31" s="14">
        <v>768000</v>
      </c>
      <c r="AK31" s="14">
        <v>767000</v>
      </c>
      <c r="AL31" s="14">
        <v>766000</v>
      </c>
      <c r="AM31" s="14">
        <v>765000</v>
      </c>
      <c r="AN31" s="14">
        <v>764000</v>
      </c>
      <c r="AO31" s="14">
        <v>763000</v>
      </c>
      <c r="AP31" s="14">
        <v>762000</v>
      </c>
      <c r="AQ31" s="14">
        <v>761000</v>
      </c>
      <c r="AR31" s="14">
        <v>757200</v>
      </c>
      <c r="AS31" s="14">
        <v>757052</v>
      </c>
      <c r="AT31" s="14">
        <v>756909</v>
      </c>
      <c r="AU31" s="14">
        <v>756804</v>
      </c>
      <c r="AV31" s="14">
        <v>756696</v>
      </c>
      <c r="AW31" s="14">
        <v>756585</v>
      </c>
      <c r="AX31" s="14">
        <v>756481</v>
      </c>
      <c r="AY31" s="14">
        <v>756348</v>
      </c>
      <c r="AZ31" s="14">
        <v>756804</v>
      </c>
      <c r="BA31" s="14">
        <v>757595</v>
      </c>
      <c r="BB31" s="14">
        <v>757859</v>
      </c>
      <c r="BC31" s="14">
        <v>759102</v>
      </c>
      <c r="BD31" s="14">
        <v>763352</v>
      </c>
      <c r="BE31" s="14">
        <v>763846</v>
      </c>
      <c r="BF31" s="14">
        <v>764033</v>
      </c>
      <c r="BG31" s="14">
        <v>764425</v>
      </c>
      <c r="BH31" s="14">
        <v>764809</v>
      </c>
      <c r="BI31" s="14">
        <v>765398</v>
      </c>
      <c r="BJ31" s="14">
        <v>765517</v>
      </c>
      <c r="BK31" s="14">
        <v>765750</v>
      </c>
      <c r="BL31" s="14">
        <v>765826</v>
      </c>
      <c r="BM31" s="14">
        <v>765817</v>
      </c>
      <c r="BN31" s="14">
        <v>765800</v>
      </c>
      <c r="BO31" s="47">
        <v>765922</v>
      </c>
    </row>
    <row r="32" spans="1:76" s="49" customFormat="1" ht="15" x14ac:dyDescent="0.3">
      <c r="A32" s="48">
        <v>7</v>
      </c>
      <c r="B32" s="49" t="s">
        <v>80</v>
      </c>
      <c r="D32" s="49">
        <v>400000</v>
      </c>
      <c r="E32" s="49">
        <v>1000</v>
      </c>
      <c r="F32" s="49">
        <v>1000</v>
      </c>
      <c r="G32" s="49">
        <v>1000</v>
      </c>
      <c r="H32" s="49">
        <v>1000</v>
      </c>
      <c r="I32" s="49">
        <v>1000</v>
      </c>
      <c r="J32" s="49">
        <v>1000</v>
      </c>
      <c r="K32" s="49">
        <v>1000</v>
      </c>
      <c r="L32" s="49">
        <v>1000</v>
      </c>
      <c r="M32" s="49">
        <v>1000</v>
      </c>
      <c r="N32" s="49">
        <v>1000</v>
      </c>
      <c r="O32" s="49">
        <v>1000</v>
      </c>
      <c r="P32" s="49">
        <v>1000</v>
      </c>
      <c r="Q32" s="49">
        <v>1000</v>
      </c>
      <c r="R32" s="49">
        <v>1000</v>
      </c>
      <c r="S32" s="49">
        <v>1000</v>
      </c>
      <c r="T32" s="49">
        <v>1000</v>
      </c>
      <c r="U32" s="49">
        <v>1000</v>
      </c>
      <c r="V32" s="49">
        <v>1000</v>
      </c>
      <c r="W32" s="49">
        <v>1000</v>
      </c>
      <c r="X32" s="49">
        <v>1000</v>
      </c>
      <c r="Y32" s="49">
        <v>1000</v>
      </c>
      <c r="Z32" s="49">
        <v>1000</v>
      </c>
      <c r="AA32" s="49">
        <v>1000</v>
      </c>
      <c r="AB32" s="49">
        <v>1000</v>
      </c>
      <c r="AC32" s="49">
        <v>1000</v>
      </c>
      <c r="AD32" s="49">
        <v>1000</v>
      </c>
      <c r="AE32" s="49">
        <v>1000</v>
      </c>
      <c r="AF32" s="49">
        <v>1000</v>
      </c>
      <c r="AG32" s="49">
        <v>1000</v>
      </c>
      <c r="AH32" s="49">
        <v>1000</v>
      </c>
      <c r="AI32" s="49">
        <v>1000</v>
      </c>
      <c r="AJ32" s="49">
        <v>1000</v>
      </c>
      <c r="AK32" s="49">
        <v>1000</v>
      </c>
      <c r="AL32" s="49">
        <v>1000</v>
      </c>
      <c r="AM32" s="49">
        <v>1000</v>
      </c>
      <c r="AN32" s="49">
        <v>1000</v>
      </c>
      <c r="AO32" s="49">
        <v>1000</v>
      </c>
      <c r="AP32" s="49">
        <v>1000</v>
      </c>
      <c r="AQ32" s="49">
        <v>1000</v>
      </c>
      <c r="AR32" s="49">
        <f t="shared" ref="AR32:BN32" si="5">AQ31-AR31</f>
        <v>3800</v>
      </c>
      <c r="AS32" s="49">
        <f t="shared" si="5"/>
        <v>148</v>
      </c>
      <c r="AT32" s="49">
        <f t="shared" si="5"/>
        <v>143</v>
      </c>
      <c r="AU32" s="49">
        <f t="shared" si="5"/>
        <v>105</v>
      </c>
      <c r="AV32" s="49">
        <f t="shared" si="5"/>
        <v>108</v>
      </c>
      <c r="AW32" s="49">
        <f t="shared" si="5"/>
        <v>111</v>
      </c>
      <c r="AX32" s="49">
        <f t="shared" si="5"/>
        <v>104</v>
      </c>
      <c r="AY32" s="49">
        <f t="shared" si="5"/>
        <v>133</v>
      </c>
      <c r="AZ32" s="49">
        <f t="shared" si="5"/>
        <v>-456</v>
      </c>
      <c r="BA32" s="49">
        <f t="shared" si="5"/>
        <v>-791</v>
      </c>
      <c r="BB32" s="49">
        <f t="shared" si="5"/>
        <v>-264</v>
      </c>
      <c r="BC32" s="49">
        <f t="shared" si="5"/>
        <v>-1243</v>
      </c>
      <c r="BD32" s="49">
        <f t="shared" si="5"/>
        <v>-4250</v>
      </c>
      <c r="BE32" s="49">
        <f t="shared" si="5"/>
        <v>-494</v>
      </c>
      <c r="BF32" s="49">
        <f t="shared" si="5"/>
        <v>-187</v>
      </c>
      <c r="BG32" s="49">
        <f t="shared" si="5"/>
        <v>-392</v>
      </c>
      <c r="BH32" s="49">
        <f t="shared" si="5"/>
        <v>-384</v>
      </c>
      <c r="BI32" s="49">
        <f t="shared" si="5"/>
        <v>-589</v>
      </c>
      <c r="BJ32" s="49">
        <f t="shared" si="5"/>
        <v>-119</v>
      </c>
      <c r="BK32" s="49">
        <f t="shared" si="5"/>
        <v>-233</v>
      </c>
      <c r="BL32" s="49">
        <f t="shared" si="5"/>
        <v>-76</v>
      </c>
      <c r="BM32" s="49">
        <f t="shared" si="5"/>
        <v>9</v>
      </c>
      <c r="BN32" s="49">
        <f t="shared" si="5"/>
        <v>17</v>
      </c>
      <c r="BO32" s="50">
        <v>-122.05</v>
      </c>
    </row>
    <row r="33" spans="1:67" x14ac:dyDescent="0.25">
      <c r="A33" s="31">
        <v>8</v>
      </c>
      <c r="B33" s="7" t="s">
        <v>81</v>
      </c>
      <c r="C33" s="45"/>
      <c r="D33" s="45">
        <v>396</v>
      </c>
      <c r="E33" s="45">
        <v>1973</v>
      </c>
      <c r="F33" s="45">
        <f>E33*1.02</f>
        <v>2012.46</v>
      </c>
      <c r="G33" s="45">
        <f>F33*1.02</f>
        <v>2052.7092000000002</v>
      </c>
      <c r="H33" s="45">
        <f t="shared" ref="H33:BO33" si="6">G33*1.02</f>
        <v>2093.7633840000003</v>
      </c>
      <c r="I33" s="45">
        <f t="shared" si="6"/>
        <v>2135.6386516800003</v>
      </c>
      <c r="J33" s="45">
        <f t="shared" si="6"/>
        <v>2178.3514247136004</v>
      </c>
      <c r="K33" s="45">
        <f t="shared" si="6"/>
        <v>2221.9184532078725</v>
      </c>
      <c r="L33" s="45">
        <f t="shared" si="6"/>
        <v>2266.3568222720301</v>
      </c>
      <c r="M33" s="45">
        <f t="shared" si="6"/>
        <v>2311.6839587174709</v>
      </c>
      <c r="N33" s="7">
        <f t="shared" si="6"/>
        <v>2357.9176378918205</v>
      </c>
      <c r="O33" s="7">
        <f t="shared" si="6"/>
        <v>2405.0759906496569</v>
      </c>
      <c r="P33" s="7">
        <f t="shared" si="6"/>
        <v>2453.1775104626499</v>
      </c>
      <c r="Q33" s="7">
        <f>P33*1.02</f>
        <v>2502.2410606719031</v>
      </c>
      <c r="R33" s="7">
        <f t="shared" si="6"/>
        <v>2552.285881885341</v>
      </c>
      <c r="S33" s="7">
        <f t="shared" si="6"/>
        <v>2603.3315995230478</v>
      </c>
      <c r="T33" s="7">
        <f t="shared" si="6"/>
        <v>2655.3982315135086</v>
      </c>
      <c r="U33" s="7">
        <f t="shared" si="6"/>
        <v>2708.5061961437787</v>
      </c>
      <c r="V33" s="7">
        <f t="shared" si="6"/>
        <v>2762.6763200666542</v>
      </c>
      <c r="W33" s="7">
        <f>V33*1.02</f>
        <v>2817.9298464679873</v>
      </c>
      <c r="X33" s="7">
        <f t="shared" si="6"/>
        <v>2874.2884433973472</v>
      </c>
      <c r="Y33" s="7">
        <f t="shared" si="6"/>
        <v>2931.7742122652944</v>
      </c>
      <c r="Z33" s="7">
        <f t="shared" si="6"/>
        <v>2990.4096965106005</v>
      </c>
      <c r="AA33" s="7">
        <f t="shared" si="6"/>
        <v>3050.2178904408124</v>
      </c>
      <c r="AB33" s="7">
        <f t="shared" si="6"/>
        <v>3111.2222482496286</v>
      </c>
      <c r="AC33" s="7">
        <f t="shared" si="6"/>
        <v>3173.4466932146211</v>
      </c>
      <c r="AD33" s="7">
        <f t="shared" si="6"/>
        <v>3236.9156270789135</v>
      </c>
      <c r="AE33" s="7">
        <f t="shared" si="6"/>
        <v>3301.6539396204917</v>
      </c>
      <c r="AF33" s="7">
        <f t="shared" si="6"/>
        <v>3367.6870184129016</v>
      </c>
      <c r="AG33" s="7">
        <f>AF33*1.02</f>
        <v>3435.0407587811596</v>
      </c>
      <c r="AH33" s="7">
        <f t="shared" si="6"/>
        <v>3503.7415739567828</v>
      </c>
      <c r="AI33" s="7">
        <f t="shared" si="6"/>
        <v>3573.8164054359186</v>
      </c>
      <c r="AJ33" s="7">
        <f t="shared" si="6"/>
        <v>3645.292733544637</v>
      </c>
      <c r="AK33" s="7">
        <f t="shared" si="6"/>
        <v>3718.19858821553</v>
      </c>
      <c r="AL33" s="7">
        <f t="shared" si="6"/>
        <v>3792.5625599798404</v>
      </c>
      <c r="AM33" s="7">
        <f t="shared" si="6"/>
        <v>3868.4138111794373</v>
      </c>
      <c r="AN33" s="7">
        <f t="shared" si="6"/>
        <v>3945.7820874030263</v>
      </c>
      <c r="AO33" s="7">
        <f t="shared" si="6"/>
        <v>4024.6977291510871</v>
      </c>
      <c r="AP33" s="7">
        <f t="shared" si="6"/>
        <v>4105.1916837341087</v>
      </c>
      <c r="AQ33" s="7">
        <f t="shared" si="6"/>
        <v>4187.2955174087911</v>
      </c>
      <c r="AR33" s="7">
        <f t="shared" si="6"/>
        <v>4271.0414277569671</v>
      </c>
      <c r="AS33" s="7">
        <f t="shared" si="6"/>
        <v>4356.4622563121065</v>
      </c>
      <c r="AT33" s="7">
        <f t="shared" si="6"/>
        <v>4443.591501438349</v>
      </c>
      <c r="AU33" s="7">
        <f t="shared" si="6"/>
        <v>4532.4633314671164</v>
      </c>
      <c r="AV33" s="7">
        <f t="shared" si="6"/>
        <v>4623.1125980964589</v>
      </c>
      <c r="AW33" s="7">
        <f t="shared" si="6"/>
        <v>4715.5748500583877</v>
      </c>
      <c r="AX33" s="7">
        <f t="shared" si="6"/>
        <v>4809.8863470595552</v>
      </c>
      <c r="AY33" s="7">
        <f t="shared" si="6"/>
        <v>4906.0840740007461</v>
      </c>
      <c r="AZ33" s="7">
        <f t="shared" si="6"/>
        <v>5004.2057554807607</v>
      </c>
      <c r="BA33" s="7">
        <f t="shared" si="6"/>
        <v>5104.2898705903763</v>
      </c>
      <c r="BB33" s="7">
        <f t="shared" si="6"/>
        <v>5206.3756680021843</v>
      </c>
      <c r="BC33" s="7">
        <f t="shared" si="6"/>
        <v>5310.5031813622281</v>
      </c>
      <c r="BD33" s="7">
        <f t="shared" si="6"/>
        <v>5416.7132449894725</v>
      </c>
      <c r="BE33" s="7">
        <f t="shared" si="6"/>
        <v>5525.0475098892621</v>
      </c>
      <c r="BF33" s="7">
        <f t="shared" si="6"/>
        <v>5635.5484600870477</v>
      </c>
      <c r="BG33" s="7">
        <f t="shared" si="6"/>
        <v>5748.2594292887889</v>
      </c>
      <c r="BH33" s="7">
        <f t="shared" si="6"/>
        <v>5863.2246178745645</v>
      </c>
      <c r="BI33" s="7">
        <f t="shared" si="6"/>
        <v>5980.4891102320562</v>
      </c>
      <c r="BJ33" s="7">
        <f t="shared" si="6"/>
        <v>6100.0988924366975</v>
      </c>
      <c r="BK33" s="7">
        <f t="shared" si="6"/>
        <v>6222.1008702854315</v>
      </c>
      <c r="BL33" s="7">
        <f t="shared" si="6"/>
        <v>6346.5428876911401</v>
      </c>
      <c r="BM33" s="7">
        <f t="shared" si="6"/>
        <v>6473.4737454449632</v>
      </c>
      <c r="BN33" s="7">
        <f t="shared" si="6"/>
        <v>6602.9432203538627</v>
      </c>
      <c r="BO33" s="7">
        <f t="shared" si="6"/>
        <v>6735.0020847609403</v>
      </c>
    </row>
    <row r="34" spans="1:67" x14ac:dyDescent="0.25">
      <c r="A34" s="31">
        <v>9</v>
      </c>
      <c r="B34" s="7" t="s">
        <v>82</v>
      </c>
      <c r="C34" s="45"/>
      <c r="D34" s="45">
        <f>D32*D33</f>
        <v>158400000</v>
      </c>
      <c r="E34" s="45">
        <f>E32*E33</f>
        <v>1973000</v>
      </c>
      <c r="F34" s="45">
        <f t="shared" ref="F34:N34" si="7">F32*F33</f>
        <v>2012460</v>
      </c>
      <c r="G34" s="45">
        <f t="shared" si="7"/>
        <v>2052709.2000000002</v>
      </c>
      <c r="H34" s="45">
        <f t="shared" si="7"/>
        <v>2093763.3840000003</v>
      </c>
      <c r="I34" s="45">
        <f t="shared" si="7"/>
        <v>2135638.6516800001</v>
      </c>
      <c r="J34" s="45">
        <f t="shared" si="7"/>
        <v>2178351.4247136004</v>
      </c>
      <c r="K34" s="45">
        <f t="shared" si="7"/>
        <v>2221918.4532078723</v>
      </c>
      <c r="L34" s="45">
        <f t="shared" si="7"/>
        <v>2266356.8222720302</v>
      </c>
      <c r="M34" s="45">
        <f t="shared" si="7"/>
        <v>2311683.958717471</v>
      </c>
      <c r="N34" s="7">
        <f t="shared" si="7"/>
        <v>2357917.6378918206</v>
      </c>
      <c r="O34" s="7">
        <f>O32*O33</f>
        <v>2405075.9906496569</v>
      </c>
      <c r="P34" s="7">
        <f>P32*P33</f>
        <v>2453177.5104626501</v>
      </c>
      <c r="Q34" s="7">
        <f t="shared" ref="Q34:BM34" si="8">Q32*Q33</f>
        <v>2502241.0606719032</v>
      </c>
      <c r="R34" s="7">
        <f t="shared" si="8"/>
        <v>2552285.8818853409</v>
      </c>
      <c r="S34" s="7">
        <f t="shared" si="8"/>
        <v>2603331.5995230479</v>
      </c>
      <c r="T34" s="7">
        <f t="shared" si="8"/>
        <v>2655398.2315135086</v>
      </c>
      <c r="U34" s="7">
        <f t="shared" si="8"/>
        <v>2708506.1961437785</v>
      </c>
      <c r="V34" s="7">
        <f t="shared" si="8"/>
        <v>2762676.3200666541</v>
      </c>
      <c r="W34" s="7">
        <f t="shared" si="8"/>
        <v>2817929.8464679872</v>
      </c>
      <c r="X34" s="7">
        <f t="shared" si="8"/>
        <v>2874288.4433973473</v>
      </c>
      <c r="Y34" s="7">
        <f t="shared" si="8"/>
        <v>2931774.2122652945</v>
      </c>
      <c r="Z34" s="7">
        <f t="shared" si="8"/>
        <v>2990409.6965106004</v>
      </c>
      <c r="AA34" s="7">
        <f t="shared" si="8"/>
        <v>3050217.8904408123</v>
      </c>
      <c r="AB34" s="7">
        <f t="shared" si="8"/>
        <v>3111222.2482496286</v>
      </c>
      <c r="AC34" s="7">
        <f t="shared" si="8"/>
        <v>3173446.6932146209</v>
      </c>
      <c r="AD34" s="7">
        <f t="shared" si="8"/>
        <v>3236915.6270789136</v>
      </c>
      <c r="AE34" s="7">
        <f t="shared" si="8"/>
        <v>3301653.9396204916</v>
      </c>
      <c r="AF34" s="7">
        <f t="shared" si="8"/>
        <v>3367687.0184129016</v>
      </c>
      <c r="AG34" s="7">
        <f t="shared" si="8"/>
        <v>3435040.7587811598</v>
      </c>
      <c r="AH34" s="7">
        <f t="shared" si="8"/>
        <v>3503741.5739567829</v>
      </c>
      <c r="AI34" s="7">
        <f t="shared" si="8"/>
        <v>3573816.4054359184</v>
      </c>
      <c r="AJ34" s="7">
        <f t="shared" si="8"/>
        <v>3645292.733544637</v>
      </c>
      <c r="AK34" s="7">
        <f t="shared" si="8"/>
        <v>3718198.5882155299</v>
      </c>
      <c r="AL34" s="7">
        <f t="shared" si="8"/>
        <v>3792562.5599798406</v>
      </c>
      <c r="AM34" s="7">
        <f t="shared" si="8"/>
        <v>3868413.8111794372</v>
      </c>
      <c r="AN34" s="7">
        <f t="shared" si="8"/>
        <v>3945782.0874030264</v>
      </c>
      <c r="AO34" s="7">
        <f t="shared" si="8"/>
        <v>4024697.7291510869</v>
      </c>
      <c r="AP34" s="7">
        <f t="shared" si="8"/>
        <v>4105191.6837341087</v>
      </c>
      <c r="AQ34" s="7">
        <f t="shared" si="8"/>
        <v>4187295.517408791</v>
      </c>
      <c r="AR34" s="7">
        <f t="shared" si="8"/>
        <v>16229957.425476475</v>
      </c>
      <c r="AS34" s="7">
        <f t="shared" si="8"/>
        <v>644756.41393419181</v>
      </c>
      <c r="AT34" s="7">
        <f t="shared" si="8"/>
        <v>635433.58470568387</v>
      </c>
      <c r="AU34" s="7">
        <f t="shared" si="8"/>
        <v>475908.64980404725</v>
      </c>
      <c r="AV34" s="7">
        <f t="shared" si="8"/>
        <v>499296.16059441754</v>
      </c>
      <c r="AW34" s="7">
        <f t="shared" si="8"/>
        <v>523428.80835648102</v>
      </c>
      <c r="AX34" s="7">
        <f t="shared" si="8"/>
        <v>500228.18009419373</v>
      </c>
      <c r="AY34" s="7">
        <f t="shared" si="8"/>
        <v>652509.18184209918</v>
      </c>
      <c r="AZ34" s="7">
        <f t="shared" si="8"/>
        <v>-2281917.8244992266</v>
      </c>
      <c r="BA34" s="7">
        <f t="shared" si="8"/>
        <v>-4037493.2876369874</v>
      </c>
      <c r="BB34" s="7">
        <f t="shared" si="8"/>
        <v>-1374483.1763525766</v>
      </c>
      <c r="BC34" s="7">
        <f t="shared" si="8"/>
        <v>-6600955.4544332493</v>
      </c>
      <c r="BD34" s="7">
        <f t="shared" si="8"/>
        <v>-23021031.291205257</v>
      </c>
      <c r="BE34" s="7">
        <f t="shared" si="8"/>
        <v>-2729373.4698852953</v>
      </c>
      <c r="BF34" s="7">
        <f t="shared" si="8"/>
        <v>-1053847.562036278</v>
      </c>
      <c r="BG34" s="7">
        <f t="shared" si="8"/>
        <v>-2253317.6962812054</v>
      </c>
      <c r="BH34" s="7">
        <f t="shared" si="8"/>
        <v>-2251478.253263833</v>
      </c>
      <c r="BI34" s="7">
        <f t="shared" si="8"/>
        <v>-3522508.0859266813</v>
      </c>
      <c r="BJ34" s="7">
        <f t="shared" si="8"/>
        <v>-725911.76819996699</v>
      </c>
      <c r="BK34" s="7">
        <f t="shared" si="8"/>
        <v>-1449749.5027765054</v>
      </c>
      <c r="BL34" s="7">
        <f t="shared" si="8"/>
        <v>-482337.25946452667</v>
      </c>
      <c r="BM34" s="7">
        <f t="shared" si="8"/>
        <v>58261.26370900467</v>
      </c>
      <c r="BN34" s="7">
        <f>BN32*BN33</f>
        <v>112250.03474601566</v>
      </c>
      <c r="BO34" s="7">
        <f>BO32*BO33</f>
        <v>-822007.00444507273</v>
      </c>
    </row>
    <row r="39" spans="1:67" x14ac:dyDescent="0.25">
      <c r="A39" s="130" t="s">
        <v>11</v>
      </c>
      <c r="B39" s="130"/>
    </row>
    <row r="40" spans="1:67" x14ac:dyDescent="0.25">
      <c r="A40" s="31">
        <v>1</v>
      </c>
      <c r="B40" s="7" t="s">
        <v>83</v>
      </c>
    </row>
    <row r="41" spans="1:67" x14ac:dyDescent="0.25">
      <c r="A41" s="31">
        <v>2</v>
      </c>
      <c r="B41" s="7" t="s">
        <v>84</v>
      </c>
    </row>
    <row r="42" spans="1:67" x14ac:dyDescent="0.25">
      <c r="A42" s="31">
        <v>3</v>
      </c>
      <c r="B42" s="7" t="s">
        <v>85</v>
      </c>
    </row>
    <row r="43" spans="1:67" x14ac:dyDescent="0.25">
      <c r="A43" s="31">
        <v>4</v>
      </c>
      <c r="B43" s="7" t="s">
        <v>86</v>
      </c>
    </row>
    <row r="44" spans="1:67" x14ac:dyDescent="0.25">
      <c r="A44" s="31">
        <v>5</v>
      </c>
      <c r="B44" s="7" t="s">
        <v>87</v>
      </c>
    </row>
    <row r="45" spans="1:67" x14ac:dyDescent="0.25">
      <c r="A45" s="31">
        <v>6</v>
      </c>
      <c r="B45" s="7" t="s">
        <v>88</v>
      </c>
    </row>
    <row r="46" spans="1:67" x14ac:dyDescent="0.25">
      <c r="A46" s="31">
        <v>7</v>
      </c>
      <c r="B46" s="7" t="s">
        <v>89</v>
      </c>
    </row>
    <row r="47" spans="1:67" x14ac:dyDescent="0.25">
      <c r="A47" s="31">
        <v>8</v>
      </c>
      <c r="B47" s="7" t="s">
        <v>90</v>
      </c>
    </row>
    <row r="48" spans="1:67" x14ac:dyDescent="0.25">
      <c r="A48" s="31">
        <v>9</v>
      </c>
      <c r="B48" s="7" t="s">
        <v>91</v>
      </c>
    </row>
    <row r="52" spans="1:12" ht="14" x14ac:dyDescent="0.3">
      <c r="A52" s="130" t="s">
        <v>16</v>
      </c>
      <c r="B52" s="141"/>
    </row>
    <row r="53" spans="1:12" ht="39" customHeight="1" x14ac:dyDescent="0.3">
      <c r="A53" s="133" t="s">
        <v>92</v>
      </c>
      <c r="B53" s="134"/>
      <c r="C53" s="134"/>
      <c r="D53" s="134"/>
      <c r="E53" s="134"/>
      <c r="F53" s="134"/>
      <c r="G53" s="19"/>
      <c r="H53" s="19"/>
      <c r="I53" s="19"/>
      <c r="J53" s="19"/>
      <c r="K53" s="19"/>
      <c r="L53" s="19"/>
    </row>
    <row r="56" spans="1:12" ht="14" x14ac:dyDescent="0.3">
      <c r="A56" s="130" t="s">
        <v>18</v>
      </c>
      <c r="B56" s="141"/>
    </row>
    <row r="57" spans="1:12" ht="376.5" customHeight="1" x14ac:dyDescent="0.25">
      <c r="A57" s="140" t="s">
        <v>93</v>
      </c>
      <c r="B57" s="137"/>
      <c r="C57" s="137"/>
      <c r="D57" s="137"/>
      <c r="E57" s="137"/>
      <c r="F57" s="137"/>
      <c r="G57" s="15"/>
      <c r="H57" s="15"/>
      <c r="I57" s="15"/>
      <c r="J57" s="15"/>
      <c r="K57" s="15"/>
      <c r="L57" s="15"/>
    </row>
    <row r="60" spans="1:12" ht="14" x14ac:dyDescent="0.3">
      <c r="A60" s="130" t="s">
        <v>21</v>
      </c>
      <c r="B60" s="141"/>
    </row>
    <row r="61" spans="1:12" ht="93.75" customHeight="1" x14ac:dyDescent="0.25">
      <c r="A61" s="129"/>
      <c r="B61" s="132"/>
      <c r="C61" s="132"/>
      <c r="D61" s="132"/>
      <c r="E61" s="132"/>
      <c r="F61" s="132"/>
      <c r="G61" s="132"/>
      <c r="H61" s="132"/>
      <c r="I61" s="132"/>
      <c r="J61" s="132"/>
      <c r="K61" s="132"/>
      <c r="L61" s="132"/>
    </row>
    <row r="63" spans="1:12" ht="14" x14ac:dyDescent="0.3">
      <c r="A63" s="130" t="s">
        <v>22</v>
      </c>
      <c r="B63" s="141"/>
    </row>
    <row r="64" spans="1:12" ht="63" customHeight="1" x14ac:dyDescent="0.25">
      <c r="A64" s="129"/>
      <c r="B64" s="129"/>
      <c r="C64" s="129"/>
      <c r="D64" s="129"/>
      <c r="E64" s="129"/>
      <c r="F64" s="129"/>
      <c r="G64" s="129"/>
      <c r="H64" s="129"/>
      <c r="I64" s="129"/>
      <c r="J64" s="129"/>
      <c r="K64" s="129"/>
      <c r="L64" s="129"/>
    </row>
    <row r="66" spans="1:76" customFormat="1" ht="14" x14ac:dyDescent="0.3">
      <c r="A66" s="43"/>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row>
    <row r="67" spans="1:76" customFormat="1" ht="14" x14ac:dyDescent="0.3">
      <c r="A67" s="43"/>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row>
    <row r="68" spans="1:76" customFormat="1" ht="107" customHeight="1" x14ac:dyDescent="0.3">
      <c r="A68" s="43"/>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row>
    <row r="69" spans="1:76" customFormat="1" ht="14" x14ac:dyDescent="0.3">
      <c r="A69" s="43"/>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row>
    <row r="70" spans="1:76" customFormat="1" ht="14" x14ac:dyDescent="0.3">
      <c r="A70" s="43"/>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row>
    <row r="71" spans="1:76" customFormat="1" ht="15.75" customHeight="1" x14ac:dyDescent="0.3">
      <c r="A71" s="43"/>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row>
    <row r="72" spans="1:76" customFormat="1" ht="14" x14ac:dyDescent="0.3">
      <c r="A72" s="43"/>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row>
    <row r="73" spans="1:76" customFormat="1" ht="14" x14ac:dyDescent="0.3">
      <c r="A73" s="43"/>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row>
    <row r="74" spans="1:76" customFormat="1" ht="14" x14ac:dyDescent="0.3">
      <c r="A74" s="43"/>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row>
    <row r="75" spans="1:76" customFormat="1" ht="14" x14ac:dyDescent="0.3">
      <c r="A75" s="43"/>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row>
  </sheetData>
  <mergeCells count="11">
    <mergeCell ref="A56:B56"/>
    <mergeCell ref="A7:B7"/>
    <mergeCell ref="A13:B13"/>
    <mergeCell ref="A39:B39"/>
    <mergeCell ref="A52:B52"/>
    <mergeCell ref="A53:F53"/>
    <mergeCell ref="A57:F57"/>
    <mergeCell ref="A60:B60"/>
    <mergeCell ref="A61:L61"/>
    <mergeCell ref="A63:B63"/>
    <mergeCell ref="A64:L64"/>
  </mergeCells>
  <pageMargins left="0.75000000000000011" right="0.75000000000000011" top="1" bottom="1" header="0.5" footer="0.5"/>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8"/>
  <sheetViews>
    <sheetView zoomScale="90" zoomScaleNormal="90" workbookViewId="0">
      <pane xSplit="2" ySplit="2" topLeftCell="AX42" activePane="bottomRight" state="frozen"/>
      <selection activeCell="AV27" sqref="AV27"/>
      <selection pane="topRight" activeCell="AV27" sqref="AV27"/>
      <selection pane="bottomLeft" activeCell="AV27" sqref="AV27"/>
      <selection pane="bottomRight" activeCell="AY44" sqref="AY44"/>
    </sheetView>
  </sheetViews>
  <sheetFormatPr defaultColWidth="11" defaultRowHeight="13.5" x14ac:dyDescent="0.25"/>
  <cols>
    <col min="1" max="1" width="10.53515625" style="7" customWidth="1"/>
    <col min="2" max="2" width="50.53515625" style="7" customWidth="1"/>
    <col min="3" max="40" width="12.3828125" style="7" bestFit="1" customWidth="1"/>
    <col min="41" max="45" width="13.3828125" style="7" bestFit="1" customWidth="1"/>
    <col min="46" max="54" width="12.3828125" style="7" bestFit="1" customWidth="1"/>
    <col min="55" max="16384" width="11" style="7"/>
  </cols>
  <sheetData>
    <row r="1" spans="1:57" s="2" customFormat="1" ht="18" thickBot="1" x14ac:dyDescent="0.4">
      <c r="A1" s="1" t="s">
        <v>94</v>
      </c>
      <c r="B1" s="1"/>
      <c r="C1" s="1"/>
      <c r="D1" s="1"/>
      <c r="E1" s="1"/>
    </row>
    <row r="2" spans="1:57" s="4" customFormat="1" ht="14" thickTop="1" x14ac:dyDescent="0.25">
      <c r="B2" s="5" t="s">
        <v>1</v>
      </c>
      <c r="C2" s="4">
        <v>1960</v>
      </c>
      <c r="D2" s="4">
        <v>1961</v>
      </c>
      <c r="E2" s="4">
        <v>1962</v>
      </c>
      <c r="F2" s="4">
        <v>1963</v>
      </c>
      <c r="G2" s="4">
        <v>1964</v>
      </c>
      <c r="H2" s="4">
        <v>1965</v>
      </c>
      <c r="I2" s="4">
        <v>1966</v>
      </c>
      <c r="J2" s="4">
        <v>1967</v>
      </c>
      <c r="K2" s="4">
        <v>1968</v>
      </c>
      <c r="L2" s="4">
        <v>1969</v>
      </c>
      <c r="M2" s="4">
        <v>1970</v>
      </c>
      <c r="N2" s="4">
        <v>1971</v>
      </c>
      <c r="O2" s="4">
        <v>1972</v>
      </c>
      <c r="P2" s="4">
        <v>1973</v>
      </c>
      <c r="Q2" s="4">
        <v>1974</v>
      </c>
      <c r="R2" s="4">
        <v>1975</v>
      </c>
      <c r="S2" s="4">
        <v>1976</v>
      </c>
      <c r="T2" s="4">
        <v>1977</v>
      </c>
      <c r="U2" s="4">
        <v>1978</v>
      </c>
      <c r="V2" s="4">
        <v>1979</v>
      </c>
      <c r="W2" s="4">
        <v>1980</v>
      </c>
      <c r="X2" s="4">
        <v>1981</v>
      </c>
      <c r="Y2" s="4">
        <v>1982</v>
      </c>
      <c r="Z2" s="4">
        <v>1983</v>
      </c>
      <c r="AA2" s="4">
        <v>1984</v>
      </c>
      <c r="AB2" s="4">
        <v>1985</v>
      </c>
      <c r="AC2" s="4">
        <v>1986</v>
      </c>
      <c r="AD2" s="4">
        <v>1987</v>
      </c>
      <c r="AE2" s="4">
        <v>1988</v>
      </c>
      <c r="AF2" s="4">
        <v>1989</v>
      </c>
      <c r="AG2" s="4">
        <v>1990</v>
      </c>
      <c r="AH2" s="4">
        <v>1991</v>
      </c>
      <c r="AI2" s="4">
        <v>1992</v>
      </c>
      <c r="AJ2" s="4">
        <v>1993</v>
      </c>
      <c r="AK2" s="4">
        <v>1994</v>
      </c>
      <c r="AL2" s="4">
        <v>1995</v>
      </c>
      <c r="AM2" s="4">
        <v>1996</v>
      </c>
      <c r="AN2" s="4">
        <v>1997</v>
      </c>
      <c r="AO2" s="4">
        <v>1998</v>
      </c>
      <c r="AP2" s="4">
        <v>1999</v>
      </c>
      <c r="AQ2" s="4">
        <v>2000</v>
      </c>
      <c r="AR2" s="4">
        <v>2001</v>
      </c>
      <c r="AS2" s="4">
        <v>2002</v>
      </c>
      <c r="AT2" s="4">
        <v>2003</v>
      </c>
      <c r="AU2" s="4">
        <v>2004</v>
      </c>
      <c r="AV2" s="4">
        <v>2005</v>
      </c>
      <c r="AW2" s="4">
        <v>2006</v>
      </c>
      <c r="AX2" s="4">
        <v>2007</v>
      </c>
      <c r="AY2" s="4">
        <v>2008</v>
      </c>
      <c r="AZ2" s="4">
        <v>2009</v>
      </c>
      <c r="BA2" s="4">
        <v>2010</v>
      </c>
      <c r="BB2" s="4">
        <v>2011</v>
      </c>
      <c r="BC2" s="4">
        <v>2012</v>
      </c>
      <c r="BD2" s="4">
        <v>2013</v>
      </c>
    </row>
    <row r="3" spans="1:57" s="21" customFormat="1" x14ac:dyDescent="0.25">
      <c r="A3" s="9">
        <v>1</v>
      </c>
      <c r="B3" s="21" t="s">
        <v>95</v>
      </c>
      <c r="C3" s="21">
        <v>2.6465400000000104E-2</v>
      </c>
      <c r="D3" s="21">
        <v>5.2930800000000208E-2</v>
      </c>
      <c r="E3" s="21">
        <v>7.9396200000000305E-2</v>
      </c>
      <c r="F3" s="21">
        <v>0.10586160000000042</v>
      </c>
      <c r="G3" s="21">
        <v>0.132327</v>
      </c>
      <c r="H3" s="21">
        <v>0.21262799999999998</v>
      </c>
      <c r="I3" s="21">
        <v>0.29292899999999999</v>
      </c>
      <c r="J3" s="21">
        <v>0.37323000000000001</v>
      </c>
      <c r="K3" s="21">
        <v>0.45353100000000002</v>
      </c>
      <c r="L3" s="21">
        <v>0.53383199999999997</v>
      </c>
      <c r="M3" s="21">
        <v>0.55735680000000021</v>
      </c>
      <c r="N3" s="21">
        <v>0.58088160000000044</v>
      </c>
      <c r="O3" s="21">
        <v>0.60440640000000068</v>
      </c>
      <c r="P3" s="21">
        <v>0.62793120000000091</v>
      </c>
      <c r="Q3" s="21">
        <v>0.65145600000000004</v>
      </c>
      <c r="R3" s="21">
        <v>0.66559350000000006</v>
      </c>
      <c r="S3" s="21">
        <v>0.67973100000000009</v>
      </c>
      <c r="T3" s="21">
        <v>0.69386850000000011</v>
      </c>
      <c r="U3" s="21">
        <v>0.70800600000000014</v>
      </c>
      <c r="V3" s="21">
        <v>0.70319925000000016</v>
      </c>
      <c r="W3" s="21">
        <v>0.69839250000000019</v>
      </c>
      <c r="X3" s="21">
        <v>0.69358575000000022</v>
      </c>
      <c r="Y3" s="21">
        <v>0.68877900000000025</v>
      </c>
      <c r="Z3" s="21">
        <v>0.69850560000000017</v>
      </c>
      <c r="AA3" s="21">
        <v>0.70823220000000009</v>
      </c>
      <c r="AB3" s="21">
        <v>0.71795880000000001</v>
      </c>
      <c r="AC3" s="21">
        <v>0.72768539999999993</v>
      </c>
      <c r="AD3" s="21">
        <v>0.73741200000000029</v>
      </c>
      <c r="AE3" s="21">
        <v>0.7537629235500003</v>
      </c>
      <c r="AF3" s="21">
        <v>0.7701138471000003</v>
      </c>
      <c r="AG3" s="21">
        <v>0.78646477065000031</v>
      </c>
      <c r="AH3" s="21">
        <v>0.80281569420000032</v>
      </c>
      <c r="AI3" s="21">
        <v>0.81916661775000033</v>
      </c>
      <c r="AJ3" s="21">
        <v>0.86411589420000035</v>
      </c>
      <c r="AK3" s="21">
        <v>0.90906517065000036</v>
      </c>
      <c r="AL3" s="21">
        <v>0.95401444710000038</v>
      </c>
      <c r="AM3" s="21">
        <v>0.9989637235500004</v>
      </c>
      <c r="AN3" s="21">
        <v>1.0439130000000003</v>
      </c>
      <c r="AO3" s="21">
        <v>1.0231026000000003</v>
      </c>
      <c r="AP3" s="21">
        <v>1.0022922000000003</v>
      </c>
      <c r="AQ3" s="21">
        <v>0.98148180000000018</v>
      </c>
      <c r="AR3" s="21">
        <v>0.96067140000000006</v>
      </c>
      <c r="AS3" s="21">
        <v>0.9398610000000005</v>
      </c>
      <c r="AT3" s="21">
        <v>0.95016117857142912</v>
      </c>
      <c r="AU3" s="21">
        <v>0.96046135714285774</v>
      </c>
      <c r="AV3" s="21">
        <v>0.97076153571428636</v>
      </c>
      <c r="AW3" s="21">
        <v>0.98106171428571498</v>
      </c>
      <c r="AX3" s="21">
        <v>0.9913618928571436</v>
      </c>
      <c r="AY3" s="21">
        <v>1.0016620714285722</v>
      </c>
      <c r="AZ3" s="21">
        <v>1.0052914504285699</v>
      </c>
      <c r="BA3" s="21">
        <f>BB16</f>
        <v>1.0091142304285721</v>
      </c>
      <c r="BB3" s="21">
        <f>BC16</f>
        <v>1.0128691504285721</v>
      </c>
      <c r="BC3" s="21">
        <f>BD16</f>
        <v>1.0169153316781796</v>
      </c>
      <c r="BD3" s="21">
        <f>BE16</f>
        <v>1.0215904416640509</v>
      </c>
    </row>
    <row r="4" spans="1:57" s="51" customFormat="1" x14ac:dyDescent="0.25">
      <c r="A4" s="9">
        <v>2</v>
      </c>
      <c r="B4" s="51" t="s">
        <v>96</v>
      </c>
      <c r="C4" s="51">
        <v>2685.6</v>
      </c>
      <c r="D4" s="51">
        <v>2662.2</v>
      </c>
      <c r="E4" s="51">
        <v>2638.7999999999997</v>
      </c>
      <c r="F4" s="51">
        <v>2615.3999999999996</v>
      </c>
      <c r="G4" s="51">
        <v>2592</v>
      </c>
      <c r="H4" s="51">
        <v>2521</v>
      </c>
      <c r="I4" s="51">
        <v>2450</v>
      </c>
      <c r="J4" s="51">
        <v>2379</v>
      </c>
      <c r="K4" s="51">
        <v>2308</v>
      </c>
      <c r="L4" s="51">
        <v>2237</v>
      </c>
      <c r="M4" s="51">
        <v>2216.1999999999998</v>
      </c>
      <c r="N4" s="51">
        <v>2195.3999999999996</v>
      </c>
      <c r="O4" s="51">
        <v>2174.5999999999995</v>
      </c>
      <c r="P4" s="51">
        <v>2153.7999999999993</v>
      </c>
      <c r="Q4" s="51">
        <v>2133</v>
      </c>
      <c r="R4" s="51">
        <v>2120.5</v>
      </c>
      <c r="S4" s="51">
        <v>2108</v>
      </c>
      <c r="T4" s="51">
        <v>2095.5</v>
      </c>
      <c r="U4" s="51">
        <v>2083</v>
      </c>
      <c r="V4" s="51">
        <v>2087.25</v>
      </c>
      <c r="W4" s="51">
        <v>2091.5</v>
      </c>
      <c r="X4" s="51">
        <v>2095.75</v>
      </c>
      <c r="Y4" s="51">
        <v>2100</v>
      </c>
      <c r="Z4" s="51">
        <v>2091.4</v>
      </c>
      <c r="AA4" s="51">
        <v>2082.8000000000002</v>
      </c>
      <c r="AB4" s="51">
        <v>2074.2000000000003</v>
      </c>
      <c r="AC4" s="51">
        <v>2065.6000000000004</v>
      </c>
      <c r="AD4" s="51">
        <v>2057</v>
      </c>
      <c r="AE4" s="51">
        <v>2042.54295</v>
      </c>
      <c r="AF4" s="51">
        <v>2028.0859</v>
      </c>
      <c r="AG4" s="51">
        <v>2013.6288500000001</v>
      </c>
      <c r="AH4" s="51">
        <v>1999.1718000000001</v>
      </c>
      <c r="AI4" s="51">
        <v>1984.7147500000001</v>
      </c>
      <c r="AJ4" s="51">
        <v>1944.9718</v>
      </c>
      <c r="AK4" s="51">
        <v>1905.22885</v>
      </c>
      <c r="AL4" s="51">
        <v>1865.4858999999999</v>
      </c>
      <c r="AM4" s="51">
        <v>1825.7429499999998</v>
      </c>
      <c r="AN4" s="51">
        <v>1786</v>
      </c>
      <c r="AO4" s="51">
        <v>1804.4</v>
      </c>
      <c r="AP4" s="51">
        <v>1822.8000000000002</v>
      </c>
      <c r="AQ4" s="51">
        <v>1841.2000000000003</v>
      </c>
      <c r="AR4" s="51">
        <v>1859.6000000000004</v>
      </c>
      <c r="AS4" s="51">
        <v>1878</v>
      </c>
      <c r="AT4" s="51">
        <v>1868.8928571428571</v>
      </c>
      <c r="AU4" s="51">
        <v>1859.7857142857142</v>
      </c>
      <c r="AV4" s="51">
        <v>1850.6785714285713</v>
      </c>
      <c r="AW4" s="51">
        <v>1841.5714285714284</v>
      </c>
      <c r="AX4" s="51">
        <v>1832.4642857142856</v>
      </c>
      <c r="AY4" s="51">
        <v>1823.3571428571427</v>
      </c>
      <c r="AZ4" s="51">
        <v>1814.25</v>
      </c>
      <c r="BA4" s="51">
        <f t="shared" ref="BA4:BD5" si="0">BB20</f>
        <v>1805.1428571428569</v>
      </c>
      <c r="BB4" s="51">
        <f t="shared" si="0"/>
        <v>1801.9333999999999</v>
      </c>
      <c r="BC4" s="51">
        <f t="shared" si="0"/>
        <v>1798.6134</v>
      </c>
      <c r="BD4" s="51">
        <f t="shared" si="0"/>
        <v>1794.4797925854366</v>
      </c>
    </row>
    <row r="5" spans="1:57" s="52" customFormat="1" x14ac:dyDescent="0.25">
      <c r="A5" s="9">
        <v>3</v>
      </c>
      <c r="B5" s="52" t="s">
        <v>97</v>
      </c>
      <c r="C5" s="52">
        <v>23.400000000000091</v>
      </c>
      <c r="D5" s="52">
        <v>23.400000000000091</v>
      </c>
      <c r="E5" s="52">
        <v>23.400000000000091</v>
      </c>
      <c r="F5" s="52">
        <v>23.400000000000091</v>
      </c>
      <c r="G5" s="52">
        <v>23.399999999999636</v>
      </c>
      <c r="H5" s="52">
        <v>71</v>
      </c>
      <c r="I5" s="52">
        <v>71</v>
      </c>
      <c r="J5" s="52">
        <v>71</v>
      </c>
      <c r="K5" s="52">
        <v>71</v>
      </c>
      <c r="L5" s="52">
        <v>71</v>
      </c>
      <c r="M5" s="52">
        <v>20.800000000000182</v>
      </c>
      <c r="N5" s="52">
        <v>20.800000000000182</v>
      </c>
      <c r="O5" s="52">
        <v>20.800000000000182</v>
      </c>
      <c r="P5" s="52">
        <v>20.800000000000182</v>
      </c>
      <c r="Q5" s="52">
        <v>20.799999999999272</v>
      </c>
      <c r="R5" s="52">
        <v>12.5</v>
      </c>
      <c r="S5" s="52">
        <v>12.5</v>
      </c>
      <c r="T5" s="52">
        <v>12.5</v>
      </c>
      <c r="U5" s="52">
        <v>12.5</v>
      </c>
      <c r="V5" s="52">
        <v>-4.25</v>
      </c>
      <c r="W5" s="52">
        <v>-4.25</v>
      </c>
      <c r="X5" s="52">
        <v>-4.25</v>
      </c>
      <c r="Y5" s="52">
        <v>-4.25</v>
      </c>
      <c r="Z5" s="52">
        <v>8.5999999999999091</v>
      </c>
      <c r="AA5" s="52">
        <v>8.5999999999999091</v>
      </c>
      <c r="AB5" s="52">
        <v>8.5999999999999091</v>
      </c>
      <c r="AC5" s="52">
        <v>8.5999999999999091</v>
      </c>
      <c r="AD5" s="52">
        <v>8.6000000000003638</v>
      </c>
      <c r="AE5" s="52">
        <v>14.457049999999981</v>
      </c>
      <c r="AF5" s="52">
        <v>14.457049999999981</v>
      </c>
      <c r="AG5" s="52">
        <v>14.457049999999981</v>
      </c>
      <c r="AH5" s="52">
        <v>14.457049999999981</v>
      </c>
      <c r="AI5" s="52">
        <v>14.457049999999981</v>
      </c>
      <c r="AJ5" s="52">
        <v>39.742950000000064</v>
      </c>
      <c r="AK5" s="52">
        <v>39.742950000000064</v>
      </c>
      <c r="AL5" s="52">
        <v>39.742950000000064</v>
      </c>
      <c r="AM5" s="52">
        <v>39.742950000000064</v>
      </c>
      <c r="AN5" s="52">
        <v>39.742949999999837</v>
      </c>
      <c r="AO5" s="52">
        <v>-18.400000000000091</v>
      </c>
      <c r="AP5" s="52">
        <v>-18.400000000000091</v>
      </c>
      <c r="AQ5" s="52">
        <v>-18.400000000000091</v>
      </c>
      <c r="AR5" s="52">
        <v>-18.400000000000091</v>
      </c>
      <c r="AS5" s="52">
        <v>-18.399999999999636</v>
      </c>
      <c r="AT5" s="52">
        <v>9.1071428571428896</v>
      </c>
      <c r="AU5" s="52">
        <v>9.1071428571428896</v>
      </c>
      <c r="AV5" s="52">
        <v>9.1071428571428896</v>
      </c>
      <c r="AW5" s="52">
        <v>9.1071428571428896</v>
      </c>
      <c r="AX5" s="52">
        <v>9.1071428571428896</v>
      </c>
      <c r="AY5" s="52">
        <v>9.1071428571428896</v>
      </c>
      <c r="AZ5" s="52">
        <v>3.2090000000000001</v>
      </c>
      <c r="BA5" s="52">
        <f t="shared" si="0"/>
        <v>3.38</v>
      </c>
      <c r="BB5" s="52">
        <f t="shared" si="0"/>
        <v>3.32</v>
      </c>
      <c r="BC5" s="52">
        <f t="shared" si="0"/>
        <v>3.5775254196353097</v>
      </c>
      <c r="BD5" s="52">
        <f t="shared" si="0"/>
        <v>4.1336074145634587</v>
      </c>
    </row>
    <row r="6" spans="1:57" ht="14" x14ac:dyDescent="0.3">
      <c r="A6" s="9"/>
      <c r="C6"/>
    </row>
    <row r="7" spans="1:57" ht="14" x14ac:dyDescent="0.3">
      <c r="A7" s="130" t="s">
        <v>4</v>
      </c>
      <c r="B7" s="130"/>
      <c r="C7"/>
    </row>
    <row r="8" spans="1:57" ht="14" x14ac:dyDescent="0.3">
      <c r="A8" s="7">
        <v>1</v>
      </c>
      <c r="B8" s="7" t="s">
        <v>98</v>
      </c>
      <c r="C8"/>
    </row>
    <row r="9" spans="1:57" ht="14" x14ac:dyDescent="0.3">
      <c r="A9" s="7">
        <v>2</v>
      </c>
      <c r="B9" s="7" t="s">
        <v>99</v>
      </c>
      <c r="C9"/>
    </row>
    <row r="10" spans="1:57" ht="14" x14ac:dyDescent="0.3">
      <c r="A10" s="7">
        <v>3</v>
      </c>
      <c r="B10" s="7" t="s">
        <v>100</v>
      </c>
      <c r="C10"/>
    </row>
    <row r="11" spans="1:57" ht="14" x14ac:dyDescent="0.3">
      <c r="A11" s="7">
        <v>4</v>
      </c>
      <c r="B11" s="7" t="s">
        <v>101</v>
      </c>
      <c r="C11"/>
    </row>
    <row r="12" spans="1:57" ht="14" x14ac:dyDescent="0.3">
      <c r="C12"/>
    </row>
    <row r="13" spans="1:57" ht="14" x14ac:dyDescent="0.3">
      <c r="C13"/>
    </row>
    <row r="14" spans="1:57" x14ac:dyDescent="0.25">
      <c r="A14" s="130" t="s">
        <v>7</v>
      </c>
      <c r="B14" s="130"/>
    </row>
    <row r="15" spans="1:57" s="4" customFormat="1" x14ac:dyDescent="0.25">
      <c r="B15" s="5" t="s">
        <v>102</v>
      </c>
      <c r="C15" s="4">
        <v>1959</v>
      </c>
      <c r="D15" s="4">
        <v>1960</v>
      </c>
      <c r="E15" s="4">
        <v>1961</v>
      </c>
      <c r="F15" s="4">
        <v>1962</v>
      </c>
      <c r="G15" s="4">
        <v>1963</v>
      </c>
      <c r="H15" s="4">
        <v>1964</v>
      </c>
      <c r="I15" s="4">
        <v>1965</v>
      </c>
      <c r="J15" s="4">
        <v>1966</v>
      </c>
      <c r="K15" s="4">
        <v>1967</v>
      </c>
      <c r="L15" s="4">
        <v>1968</v>
      </c>
      <c r="M15" s="4">
        <v>1969</v>
      </c>
      <c r="N15" s="4">
        <v>1970</v>
      </c>
      <c r="O15" s="4">
        <v>1971</v>
      </c>
      <c r="P15" s="4">
        <v>1972</v>
      </c>
      <c r="Q15" s="4">
        <v>1973</v>
      </c>
      <c r="R15" s="4">
        <v>1974</v>
      </c>
      <c r="S15" s="4">
        <v>1975</v>
      </c>
      <c r="T15" s="4">
        <v>1976</v>
      </c>
      <c r="U15" s="4">
        <v>1977</v>
      </c>
      <c r="V15" s="4">
        <v>1978</v>
      </c>
      <c r="W15" s="4">
        <v>1979</v>
      </c>
      <c r="X15" s="4">
        <v>1980</v>
      </c>
      <c r="Y15" s="4">
        <v>1981</v>
      </c>
      <c r="Z15" s="4">
        <v>1982</v>
      </c>
      <c r="AA15" s="4">
        <v>1983</v>
      </c>
      <c r="AB15" s="4">
        <v>1984</v>
      </c>
      <c r="AC15" s="4">
        <v>1985</v>
      </c>
      <c r="AD15" s="4">
        <v>1986</v>
      </c>
      <c r="AE15" s="4">
        <v>1987</v>
      </c>
      <c r="AF15" s="4">
        <v>1988</v>
      </c>
      <c r="AG15" s="4">
        <v>1989</v>
      </c>
      <c r="AH15" s="4">
        <v>1990</v>
      </c>
      <c r="AI15" s="4">
        <v>1991</v>
      </c>
      <c r="AJ15" s="4">
        <v>1992</v>
      </c>
      <c r="AK15" s="4">
        <v>1993</v>
      </c>
      <c r="AL15" s="4">
        <v>1994</v>
      </c>
      <c r="AM15" s="4">
        <v>1995</v>
      </c>
      <c r="AN15" s="4">
        <v>1996</v>
      </c>
      <c r="AO15" s="4">
        <v>1997</v>
      </c>
      <c r="AP15" s="4">
        <v>1998</v>
      </c>
      <c r="AQ15" s="4">
        <v>1999</v>
      </c>
      <c r="AR15" s="4">
        <v>2000</v>
      </c>
      <c r="AS15" s="4">
        <v>2001</v>
      </c>
      <c r="AT15" s="4">
        <v>2002</v>
      </c>
      <c r="AU15" s="4">
        <v>2003</v>
      </c>
      <c r="AV15" s="4">
        <v>2004</v>
      </c>
      <c r="AW15" s="4">
        <v>2005</v>
      </c>
      <c r="AX15" s="4">
        <v>2006</v>
      </c>
      <c r="AY15" s="4">
        <v>2007</v>
      </c>
      <c r="AZ15" s="4">
        <v>2008</v>
      </c>
      <c r="BA15" s="4">
        <v>2009</v>
      </c>
      <c r="BB15" s="4">
        <v>2010</v>
      </c>
      <c r="BC15" s="4">
        <v>2011</v>
      </c>
      <c r="BD15" s="53">
        <v>2012</v>
      </c>
      <c r="BE15" s="4">
        <v>2013</v>
      </c>
    </row>
    <row r="16" spans="1:57" s="11" customFormat="1" x14ac:dyDescent="0.25">
      <c r="A16" s="11">
        <v>1</v>
      </c>
      <c r="B16" s="11" t="s">
        <v>103</v>
      </c>
      <c r="D16" s="11">
        <f>D23/1000000000</f>
        <v>2.6465400000000104E-2</v>
      </c>
      <c r="E16" s="11">
        <f t="shared" ref="E16:BD16" si="1">E23/1000000000+D16</f>
        <v>5.2930800000000208E-2</v>
      </c>
      <c r="F16" s="11">
        <f t="shared" si="1"/>
        <v>7.9396200000000305E-2</v>
      </c>
      <c r="G16" s="11">
        <f t="shared" si="1"/>
        <v>0.10586160000000042</v>
      </c>
      <c r="H16" s="11">
        <f t="shared" si="1"/>
        <v>0.132327</v>
      </c>
      <c r="I16" s="11">
        <f t="shared" si="1"/>
        <v>0.21262799999999998</v>
      </c>
      <c r="J16" s="11">
        <f t="shared" si="1"/>
        <v>0.29292899999999999</v>
      </c>
      <c r="K16" s="11">
        <f t="shared" si="1"/>
        <v>0.37323000000000001</v>
      </c>
      <c r="L16" s="11">
        <f t="shared" si="1"/>
        <v>0.45353100000000002</v>
      </c>
      <c r="M16" s="11">
        <f t="shared" si="1"/>
        <v>0.53383199999999997</v>
      </c>
      <c r="N16" s="11">
        <f t="shared" si="1"/>
        <v>0.55735680000000021</v>
      </c>
      <c r="O16" s="11">
        <f t="shared" si="1"/>
        <v>0.58088160000000044</v>
      </c>
      <c r="P16" s="11">
        <f t="shared" si="1"/>
        <v>0.60440640000000068</v>
      </c>
      <c r="Q16" s="11">
        <f t="shared" si="1"/>
        <v>0.62793120000000091</v>
      </c>
      <c r="R16" s="11">
        <f t="shared" si="1"/>
        <v>0.65145600000000004</v>
      </c>
      <c r="S16" s="11">
        <f t="shared" si="1"/>
        <v>0.66559350000000006</v>
      </c>
      <c r="T16" s="11">
        <f t="shared" si="1"/>
        <v>0.67973100000000009</v>
      </c>
      <c r="U16" s="11">
        <f t="shared" si="1"/>
        <v>0.69386850000000011</v>
      </c>
      <c r="V16" s="11">
        <f t="shared" si="1"/>
        <v>0.70800600000000014</v>
      </c>
      <c r="W16" s="11">
        <f t="shared" si="1"/>
        <v>0.70319925000000016</v>
      </c>
      <c r="X16" s="11">
        <f t="shared" si="1"/>
        <v>0.69839250000000019</v>
      </c>
      <c r="Y16" s="11">
        <f t="shared" si="1"/>
        <v>0.69358575000000022</v>
      </c>
      <c r="Z16" s="11">
        <f t="shared" si="1"/>
        <v>0.68877900000000025</v>
      </c>
      <c r="AA16" s="11">
        <f t="shared" si="1"/>
        <v>0.69850560000000017</v>
      </c>
      <c r="AB16" s="11">
        <f t="shared" si="1"/>
        <v>0.70823220000000009</v>
      </c>
      <c r="AC16" s="11">
        <f t="shared" si="1"/>
        <v>0.71795880000000001</v>
      </c>
      <c r="AD16" s="11">
        <f t="shared" si="1"/>
        <v>0.72768539999999993</v>
      </c>
      <c r="AE16" s="11">
        <f t="shared" si="1"/>
        <v>0.73741200000000029</v>
      </c>
      <c r="AF16" s="11">
        <f t="shared" si="1"/>
        <v>0.7537629235500003</v>
      </c>
      <c r="AG16" s="11">
        <f t="shared" si="1"/>
        <v>0.7701138471000003</v>
      </c>
      <c r="AH16" s="11">
        <f t="shared" si="1"/>
        <v>0.78646477065000031</v>
      </c>
      <c r="AI16" s="11">
        <f t="shared" si="1"/>
        <v>0.80281569420000032</v>
      </c>
      <c r="AJ16" s="11">
        <f t="shared" si="1"/>
        <v>0.81916661775000033</v>
      </c>
      <c r="AK16" s="11">
        <f t="shared" si="1"/>
        <v>0.86411589420000035</v>
      </c>
      <c r="AL16" s="11">
        <f t="shared" si="1"/>
        <v>0.90906517065000036</v>
      </c>
      <c r="AM16" s="11">
        <f t="shared" si="1"/>
        <v>0.95401444710000038</v>
      </c>
      <c r="AN16" s="11">
        <f t="shared" si="1"/>
        <v>0.9989637235500004</v>
      </c>
      <c r="AO16" s="11">
        <f t="shared" si="1"/>
        <v>1.0439130000000003</v>
      </c>
      <c r="AP16" s="11">
        <f t="shared" si="1"/>
        <v>1.0231026000000003</v>
      </c>
      <c r="AQ16" s="11">
        <f t="shared" si="1"/>
        <v>1.0022922000000003</v>
      </c>
      <c r="AR16" s="11">
        <f t="shared" si="1"/>
        <v>0.98148180000000018</v>
      </c>
      <c r="AS16" s="11">
        <f t="shared" si="1"/>
        <v>0.96067140000000006</v>
      </c>
      <c r="AT16" s="11">
        <f t="shared" si="1"/>
        <v>0.9398610000000005</v>
      </c>
      <c r="AU16" s="11">
        <f t="shared" si="1"/>
        <v>0.95016117857142912</v>
      </c>
      <c r="AV16" s="11">
        <f t="shared" si="1"/>
        <v>0.96046135714285774</v>
      </c>
      <c r="AW16" s="11">
        <f t="shared" si="1"/>
        <v>0.97076153571428636</v>
      </c>
      <c r="AX16" s="11">
        <f t="shared" si="1"/>
        <v>0.98106171428571498</v>
      </c>
      <c r="AY16" s="11">
        <f t="shared" si="1"/>
        <v>0.9913618928571436</v>
      </c>
      <c r="AZ16" s="11">
        <f t="shared" si="1"/>
        <v>1.0016620714285722</v>
      </c>
      <c r="BA16" s="11">
        <f t="shared" si="1"/>
        <v>1.0052914504285722</v>
      </c>
      <c r="BB16" s="11">
        <f t="shared" si="1"/>
        <v>1.0091142304285721</v>
      </c>
      <c r="BC16" s="11">
        <f t="shared" si="1"/>
        <v>1.0128691504285721</v>
      </c>
      <c r="BD16" s="11">
        <f t="shared" si="1"/>
        <v>1.0169153316781796</v>
      </c>
      <c r="BE16" s="11">
        <f>BE23/1000000000+BD16</f>
        <v>1.0215904416640509</v>
      </c>
    </row>
    <row r="17" spans="1:58" s="12" customFormat="1" x14ac:dyDescent="0.25">
      <c r="A17" s="12">
        <v>2</v>
      </c>
      <c r="B17" s="12" t="s">
        <v>104</v>
      </c>
      <c r="C17" s="12">
        <v>2709</v>
      </c>
      <c r="H17" s="12">
        <v>2592</v>
      </c>
      <c r="M17" s="12">
        <v>2237</v>
      </c>
      <c r="R17" s="12">
        <v>2133</v>
      </c>
      <c r="V17" s="12">
        <v>2083</v>
      </c>
      <c r="Z17" s="12">
        <v>2100</v>
      </c>
      <c r="AE17" s="12">
        <v>2057</v>
      </c>
      <c r="AJ17" s="12">
        <v>1984.7147500000001</v>
      </c>
      <c r="AO17" s="12">
        <v>1786</v>
      </c>
      <c r="AT17" s="12">
        <v>1878</v>
      </c>
    </row>
    <row r="18" spans="1:58" s="12" customFormat="1" x14ac:dyDescent="0.25">
      <c r="A18" s="12">
        <v>3</v>
      </c>
      <c r="B18" s="12" t="s">
        <v>105</v>
      </c>
      <c r="D18" s="12">
        <f>C17+($H17-$C17)/5</f>
        <v>2685.6</v>
      </c>
      <c r="E18" s="12">
        <f>D18+($H17-$C17)/5</f>
        <v>2662.2</v>
      </c>
      <c r="F18" s="12">
        <f>E18+($H17-$C17)/5</f>
        <v>2638.7999999999997</v>
      </c>
      <c r="G18" s="12">
        <f>F18+($H17-$C17)/5</f>
        <v>2615.3999999999996</v>
      </c>
      <c r="I18" s="12">
        <f>H17+($M17-$H17)/5</f>
        <v>2521</v>
      </c>
      <c r="J18" s="12">
        <f>I18+($M17-$H17)/5</f>
        <v>2450</v>
      </c>
      <c r="K18" s="12">
        <f>J18+($M17-$H17)/5</f>
        <v>2379</v>
      </c>
      <c r="L18" s="12">
        <f>K18+($M17-$H17)/5</f>
        <v>2308</v>
      </c>
      <c r="N18" s="12">
        <f>M17+($R17-$M17)/5</f>
        <v>2216.1999999999998</v>
      </c>
      <c r="O18" s="12">
        <f>N18+($R17-$M17)/5</f>
        <v>2195.3999999999996</v>
      </c>
      <c r="P18" s="12">
        <f>O18+($R17-$M17)/5</f>
        <v>2174.5999999999995</v>
      </c>
      <c r="Q18" s="12">
        <f>P18+($R17-$M17)/5</f>
        <v>2153.7999999999993</v>
      </c>
      <c r="S18" s="12">
        <f>R17+($V17-$R17)/4</f>
        <v>2120.5</v>
      </c>
      <c r="T18" s="12">
        <f>S18+($V17-$R17)/4</f>
        <v>2108</v>
      </c>
      <c r="U18" s="12">
        <f>T18+($V17-$R17)/4</f>
        <v>2095.5</v>
      </c>
      <c r="W18" s="12">
        <f>V17+($Z17-$V17)/4</f>
        <v>2087.25</v>
      </c>
      <c r="X18" s="12">
        <f>W18+($Z17-$V17)/4</f>
        <v>2091.5</v>
      </c>
      <c r="Y18" s="12">
        <f>X18+($Z17-$V17)/4</f>
        <v>2095.75</v>
      </c>
      <c r="AA18" s="12">
        <f>Z17+($AE17-$Z17)/5</f>
        <v>2091.4</v>
      </c>
      <c r="AB18" s="12">
        <f>AA18+($AE17-$Z17)/5</f>
        <v>2082.8000000000002</v>
      </c>
      <c r="AC18" s="12">
        <f>AB18+($AE17-$Z17)/5</f>
        <v>2074.2000000000003</v>
      </c>
      <c r="AD18" s="12">
        <f>AC18+($AE17-$Z17)/5</f>
        <v>2065.6000000000004</v>
      </c>
      <c r="AF18" s="12">
        <f>AE17+($AJ17-$AE17)/5</f>
        <v>2042.54295</v>
      </c>
      <c r="AG18" s="12">
        <f>AF18+($AJ17-$AE17)/5</f>
        <v>2028.0859</v>
      </c>
      <c r="AH18" s="12">
        <f>AG18+($AJ17-$AE17)/5</f>
        <v>2013.6288500000001</v>
      </c>
      <c r="AI18" s="12">
        <f>AH18+($AJ17-$AE17)/5</f>
        <v>1999.1718000000001</v>
      </c>
      <c r="AK18" s="12">
        <f>AJ17+($AO17-$AJ17)/5</f>
        <v>1944.9718</v>
      </c>
      <c r="AL18" s="12">
        <f>AK18+($AO17-$AJ17)/5</f>
        <v>1905.22885</v>
      </c>
      <c r="AM18" s="12">
        <f>AL18+($AO17-$AJ17)/5</f>
        <v>1865.4858999999999</v>
      </c>
      <c r="AN18" s="12">
        <f>AM18+($AO17-$AJ17)/5</f>
        <v>1825.7429499999998</v>
      </c>
      <c r="AP18" s="12">
        <f>AO17+($AT17-$AO17)/5</f>
        <v>1804.4</v>
      </c>
      <c r="AQ18" s="12">
        <f>AP18+($AT17-$AO17)/5</f>
        <v>1822.8000000000002</v>
      </c>
      <c r="AR18" s="12">
        <f>AQ18+($AT17-$AO17)/5</f>
        <v>1841.2000000000003</v>
      </c>
      <c r="AS18" s="12">
        <f>AR18+($AT17-$AO17)/5</f>
        <v>1859.6000000000004</v>
      </c>
      <c r="AU18" s="12">
        <f>AT17+($AT17-$R17)/28</f>
        <v>1868.8928571428571</v>
      </c>
      <c r="AV18" s="12">
        <f t="shared" ref="AV18:BA18" si="2">AU18+($AT17-$R17)/28</f>
        <v>1859.7857142857142</v>
      </c>
      <c r="AW18" s="12">
        <f t="shared" si="2"/>
        <v>1850.6785714285713</v>
      </c>
      <c r="AX18" s="12">
        <f t="shared" si="2"/>
        <v>1841.5714285714284</v>
      </c>
      <c r="AY18" s="12">
        <f t="shared" si="2"/>
        <v>1832.4642857142856</v>
      </c>
      <c r="AZ18" s="12">
        <f t="shared" si="2"/>
        <v>1823.3571428571427</v>
      </c>
      <c r="BA18" s="12">
        <f t="shared" si="2"/>
        <v>1814.2499999999998</v>
      </c>
      <c r="BB18" s="54">
        <v>1805.1428571428569</v>
      </c>
      <c r="BC18" s="12">
        <v>1801.9333999999999</v>
      </c>
      <c r="BD18" s="55">
        <v>1798.6134</v>
      </c>
      <c r="BE18" s="55">
        <f>BC4-BD5</f>
        <v>1794.4797925854366</v>
      </c>
    </row>
    <row r="19" spans="1:58" s="12" customFormat="1" x14ac:dyDescent="0.25">
      <c r="A19" s="12">
        <v>4</v>
      </c>
      <c r="B19" s="12" t="s">
        <v>106</v>
      </c>
    </row>
    <row r="20" spans="1:58" s="11" customFormat="1" x14ac:dyDescent="0.25">
      <c r="A20" s="11">
        <v>5</v>
      </c>
      <c r="B20" s="11" t="s">
        <v>107</v>
      </c>
      <c r="C20" s="11">
        <f t="shared" ref="C20:BC20" si="3">SUM(C17+C18+C19)</f>
        <v>2709</v>
      </c>
      <c r="D20" s="11">
        <f t="shared" si="3"/>
        <v>2685.6</v>
      </c>
      <c r="E20" s="11">
        <f t="shared" si="3"/>
        <v>2662.2</v>
      </c>
      <c r="F20" s="11">
        <f t="shared" si="3"/>
        <v>2638.7999999999997</v>
      </c>
      <c r="G20" s="11">
        <f t="shared" si="3"/>
        <v>2615.3999999999996</v>
      </c>
      <c r="H20" s="11">
        <f t="shared" si="3"/>
        <v>2592</v>
      </c>
      <c r="I20" s="11">
        <f t="shared" si="3"/>
        <v>2521</v>
      </c>
      <c r="J20" s="11">
        <f t="shared" si="3"/>
        <v>2450</v>
      </c>
      <c r="K20" s="11">
        <f t="shared" si="3"/>
        <v>2379</v>
      </c>
      <c r="L20" s="11">
        <f t="shared" si="3"/>
        <v>2308</v>
      </c>
      <c r="M20" s="11">
        <f t="shared" si="3"/>
        <v>2237</v>
      </c>
      <c r="N20" s="11">
        <f t="shared" si="3"/>
        <v>2216.1999999999998</v>
      </c>
      <c r="O20" s="11">
        <f t="shared" si="3"/>
        <v>2195.3999999999996</v>
      </c>
      <c r="P20" s="11">
        <f t="shared" si="3"/>
        <v>2174.5999999999995</v>
      </c>
      <c r="Q20" s="11">
        <f t="shared" si="3"/>
        <v>2153.7999999999993</v>
      </c>
      <c r="R20" s="11">
        <f t="shared" si="3"/>
        <v>2133</v>
      </c>
      <c r="S20" s="11">
        <f t="shared" si="3"/>
        <v>2120.5</v>
      </c>
      <c r="T20" s="11">
        <f t="shared" si="3"/>
        <v>2108</v>
      </c>
      <c r="U20" s="11">
        <f t="shared" si="3"/>
        <v>2095.5</v>
      </c>
      <c r="V20" s="11">
        <f t="shared" si="3"/>
        <v>2083</v>
      </c>
      <c r="W20" s="11">
        <f t="shared" si="3"/>
        <v>2087.25</v>
      </c>
      <c r="X20" s="11">
        <f t="shared" si="3"/>
        <v>2091.5</v>
      </c>
      <c r="Y20" s="11">
        <f t="shared" si="3"/>
        <v>2095.75</v>
      </c>
      <c r="Z20" s="11">
        <f t="shared" si="3"/>
        <v>2100</v>
      </c>
      <c r="AA20" s="11">
        <f t="shared" si="3"/>
        <v>2091.4</v>
      </c>
      <c r="AB20" s="11">
        <f t="shared" si="3"/>
        <v>2082.8000000000002</v>
      </c>
      <c r="AC20" s="11">
        <f t="shared" si="3"/>
        <v>2074.2000000000003</v>
      </c>
      <c r="AD20" s="11">
        <f t="shared" si="3"/>
        <v>2065.6000000000004</v>
      </c>
      <c r="AE20" s="11">
        <f t="shared" si="3"/>
        <v>2057</v>
      </c>
      <c r="AF20" s="11">
        <f t="shared" si="3"/>
        <v>2042.54295</v>
      </c>
      <c r="AG20" s="11">
        <f t="shared" si="3"/>
        <v>2028.0859</v>
      </c>
      <c r="AH20" s="11">
        <f t="shared" si="3"/>
        <v>2013.6288500000001</v>
      </c>
      <c r="AI20" s="11">
        <f t="shared" si="3"/>
        <v>1999.1718000000001</v>
      </c>
      <c r="AJ20" s="11">
        <f t="shared" si="3"/>
        <v>1984.7147500000001</v>
      </c>
      <c r="AK20" s="11">
        <f t="shared" si="3"/>
        <v>1944.9718</v>
      </c>
      <c r="AL20" s="11">
        <f t="shared" si="3"/>
        <v>1905.22885</v>
      </c>
      <c r="AM20" s="11">
        <f t="shared" si="3"/>
        <v>1865.4858999999999</v>
      </c>
      <c r="AN20" s="11">
        <f t="shared" si="3"/>
        <v>1825.7429499999998</v>
      </c>
      <c r="AO20" s="11">
        <f t="shared" si="3"/>
        <v>1786</v>
      </c>
      <c r="AP20" s="11">
        <f t="shared" si="3"/>
        <v>1804.4</v>
      </c>
      <c r="AQ20" s="11">
        <f t="shared" si="3"/>
        <v>1822.8000000000002</v>
      </c>
      <c r="AR20" s="11">
        <f t="shared" si="3"/>
        <v>1841.2000000000003</v>
      </c>
      <c r="AS20" s="11">
        <f t="shared" si="3"/>
        <v>1859.6000000000004</v>
      </c>
      <c r="AT20" s="11">
        <f t="shared" si="3"/>
        <v>1878</v>
      </c>
      <c r="AU20" s="11">
        <f t="shared" si="3"/>
        <v>1868.8928571428571</v>
      </c>
      <c r="AV20" s="11">
        <f t="shared" si="3"/>
        <v>1859.7857142857142</v>
      </c>
      <c r="AW20" s="11">
        <f t="shared" si="3"/>
        <v>1850.6785714285713</v>
      </c>
      <c r="AX20" s="11">
        <f t="shared" si="3"/>
        <v>1841.5714285714284</v>
      </c>
      <c r="AY20" s="11">
        <f t="shared" si="3"/>
        <v>1832.4642857142856</v>
      </c>
      <c r="AZ20" s="11">
        <f t="shared" si="3"/>
        <v>1823.3571428571427</v>
      </c>
      <c r="BA20" s="11">
        <f t="shared" si="3"/>
        <v>1814.2499999999998</v>
      </c>
      <c r="BB20" s="11">
        <f t="shared" si="3"/>
        <v>1805.1428571428569</v>
      </c>
      <c r="BC20" s="11">
        <f t="shared" si="3"/>
        <v>1801.9333999999999</v>
      </c>
      <c r="BD20" s="56">
        <f>SUM(BD17+BD18+BD19)</f>
        <v>1798.6134</v>
      </c>
      <c r="BE20" s="11">
        <f>SUM(BE17+BE18+BE19)</f>
        <v>1794.4797925854366</v>
      </c>
    </row>
    <row r="21" spans="1:58" s="11" customFormat="1" x14ac:dyDescent="0.25">
      <c r="A21" s="11">
        <v>6</v>
      </c>
      <c r="B21" s="11" t="s">
        <v>108</v>
      </c>
      <c r="D21" s="11">
        <f>C20-D20</f>
        <v>23.400000000000091</v>
      </c>
      <c r="E21" s="11">
        <f>D20-E20</f>
        <v>23.400000000000091</v>
      </c>
      <c r="F21" s="11">
        <f t="shared" ref="F21:AB21" si="4">E20-F20</f>
        <v>23.400000000000091</v>
      </c>
      <c r="G21" s="11">
        <f t="shared" si="4"/>
        <v>23.400000000000091</v>
      </c>
      <c r="H21" s="11">
        <f t="shared" si="4"/>
        <v>23.399999999999636</v>
      </c>
      <c r="I21" s="11">
        <f t="shared" si="4"/>
        <v>71</v>
      </c>
      <c r="J21" s="11">
        <f t="shared" si="4"/>
        <v>71</v>
      </c>
      <c r="K21" s="11">
        <f t="shared" si="4"/>
        <v>71</v>
      </c>
      <c r="L21" s="11">
        <f t="shared" si="4"/>
        <v>71</v>
      </c>
      <c r="M21" s="11">
        <f t="shared" si="4"/>
        <v>71</v>
      </c>
      <c r="N21" s="11">
        <f t="shared" si="4"/>
        <v>20.800000000000182</v>
      </c>
      <c r="O21" s="11">
        <f t="shared" si="4"/>
        <v>20.800000000000182</v>
      </c>
      <c r="P21" s="11">
        <f t="shared" si="4"/>
        <v>20.800000000000182</v>
      </c>
      <c r="Q21" s="11">
        <f t="shared" si="4"/>
        <v>20.800000000000182</v>
      </c>
      <c r="R21" s="11">
        <f t="shared" si="4"/>
        <v>20.799999999999272</v>
      </c>
      <c r="S21" s="11">
        <f t="shared" si="4"/>
        <v>12.5</v>
      </c>
      <c r="T21" s="11">
        <f t="shared" si="4"/>
        <v>12.5</v>
      </c>
      <c r="U21" s="11">
        <f t="shared" si="4"/>
        <v>12.5</v>
      </c>
      <c r="V21" s="11">
        <f t="shared" si="4"/>
        <v>12.5</v>
      </c>
      <c r="W21" s="11">
        <f t="shared" si="4"/>
        <v>-4.25</v>
      </c>
      <c r="X21" s="11">
        <f t="shared" si="4"/>
        <v>-4.25</v>
      </c>
      <c r="Y21" s="11">
        <f t="shared" si="4"/>
        <v>-4.25</v>
      </c>
      <c r="Z21" s="11">
        <f t="shared" si="4"/>
        <v>-4.25</v>
      </c>
      <c r="AA21" s="11">
        <f t="shared" si="4"/>
        <v>8.5999999999999091</v>
      </c>
      <c r="AB21" s="11">
        <f t="shared" si="4"/>
        <v>8.5999999999999091</v>
      </c>
      <c r="AC21" s="11">
        <f>AB20-AC20</f>
        <v>8.5999999999999091</v>
      </c>
      <c r="AD21" s="11">
        <f>AC20-AD20</f>
        <v>8.5999999999999091</v>
      </c>
      <c r="AE21" s="11">
        <f t="shared" ref="AE21:AZ21" si="5">AD20-AE20</f>
        <v>8.6000000000003638</v>
      </c>
      <c r="AF21" s="11">
        <f t="shared" si="5"/>
        <v>14.457049999999981</v>
      </c>
      <c r="AG21" s="11">
        <f t="shared" si="5"/>
        <v>14.457049999999981</v>
      </c>
      <c r="AH21" s="11">
        <f t="shared" si="5"/>
        <v>14.457049999999981</v>
      </c>
      <c r="AI21" s="11">
        <f t="shared" si="5"/>
        <v>14.457049999999981</v>
      </c>
      <c r="AJ21" s="11">
        <f t="shared" si="5"/>
        <v>14.457049999999981</v>
      </c>
      <c r="AK21" s="11">
        <f t="shared" si="5"/>
        <v>39.742950000000064</v>
      </c>
      <c r="AL21" s="11">
        <f t="shared" si="5"/>
        <v>39.742950000000064</v>
      </c>
      <c r="AM21" s="11">
        <f t="shared" si="5"/>
        <v>39.742950000000064</v>
      </c>
      <c r="AN21" s="11">
        <f t="shared" si="5"/>
        <v>39.742950000000064</v>
      </c>
      <c r="AO21" s="11">
        <f t="shared" si="5"/>
        <v>39.742949999999837</v>
      </c>
      <c r="AP21" s="11">
        <f t="shared" si="5"/>
        <v>-18.400000000000091</v>
      </c>
      <c r="AQ21" s="11">
        <f t="shared" si="5"/>
        <v>-18.400000000000091</v>
      </c>
      <c r="AR21" s="11">
        <f t="shared" si="5"/>
        <v>-18.400000000000091</v>
      </c>
      <c r="AS21" s="11">
        <f t="shared" si="5"/>
        <v>-18.400000000000091</v>
      </c>
      <c r="AT21" s="11">
        <f t="shared" si="5"/>
        <v>-18.399999999999636</v>
      </c>
      <c r="AU21" s="11">
        <f t="shared" si="5"/>
        <v>9.1071428571428896</v>
      </c>
      <c r="AV21" s="11">
        <f t="shared" si="5"/>
        <v>9.1071428571428896</v>
      </c>
      <c r="AW21" s="11">
        <f t="shared" si="5"/>
        <v>9.1071428571428896</v>
      </c>
      <c r="AX21" s="11">
        <f t="shared" si="5"/>
        <v>9.1071428571428896</v>
      </c>
      <c r="AY21" s="11">
        <f t="shared" si="5"/>
        <v>9.1071428571428896</v>
      </c>
      <c r="AZ21" s="11">
        <f t="shared" si="5"/>
        <v>9.1071428571428896</v>
      </c>
      <c r="BA21" s="11">
        <v>3.2090000000000001</v>
      </c>
      <c r="BB21" s="11">
        <v>3.38</v>
      </c>
      <c r="BC21" s="11">
        <v>3.32</v>
      </c>
      <c r="BD21" s="57">
        <v>3.5775254196353097</v>
      </c>
      <c r="BE21" s="57">
        <v>4.1336074145634587</v>
      </c>
      <c r="BF21" s="11">
        <v>4.2</v>
      </c>
    </row>
    <row r="22" spans="1:58" s="12" customFormat="1" x14ac:dyDescent="0.25">
      <c r="A22" s="23">
        <v>7</v>
      </c>
      <c r="B22" s="12" t="s">
        <v>109</v>
      </c>
      <c r="C22" s="12">
        <v>1131</v>
      </c>
      <c r="D22" s="12">
        <v>1131</v>
      </c>
      <c r="E22" s="12">
        <v>1131</v>
      </c>
      <c r="F22" s="12">
        <v>1131</v>
      </c>
      <c r="G22" s="12">
        <v>1131</v>
      </c>
      <c r="H22" s="12">
        <v>1131</v>
      </c>
      <c r="I22" s="12">
        <v>1131</v>
      </c>
      <c r="J22" s="12">
        <v>1131</v>
      </c>
      <c r="K22" s="12">
        <v>1131</v>
      </c>
      <c r="L22" s="12">
        <v>1131</v>
      </c>
      <c r="M22" s="12">
        <v>1131</v>
      </c>
      <c r="N22" s="12">
        <v>1131</v>
      </c>
      <c r="O22" s="12">
        <v>1131</v>
      </c>
      <c r="P22" s="12">
        <v>1131</v>
      </c>
      <c r="Q22" s="12">
        <v>1131</v>
      </c>
      <c r="R22" s="12">
        <v>1131</v>
      </c>
      <c r="S22" s="12">
        <v>1131</v>
      </c>
      <c r="T22" s="12">
        <v>1131</v>
      </c>
      <c r="U22" s="12">
        <v>1131</v>
      </c>
      <c r="V22" s="12">
        <v>1131</v>
      </c>
      <c r="W22" s="12">
        <v>1131</v>
      </c>
      <c r="X22" s="12">
        <v>1131</v>
      </c>
      <c r="Y22" s="12">
        <v>1131</v>
      </c>
      <c r="Z22" s="12">
        <v>1131</v>
      </c>
      <c r="AA22" s="12">
        <v>1131</v>
      </c>
      <c r="AB22" s="12">
        <v>1131</v>
      </c>
      <c r="AC22" s="12">
        <v>1131</v>
      </c>
      <c r="AD22" s="12">
        <v>1131</v>
      </c>
      <c r="AE22" s="12">
        <v>1131</v>
      </c>
      <c r="AF22" s="12">
        <v>1131</v>
      </c>
      <c r="AG22" s="12">
        <v>1131</v>
      </c>
      <c r="AH22" s="12">
        <v>1131</v>
      </c>
      <c r="AI22" s="12">
        <v>1131</v>
      </c>
      <c r="AJ22" s="12">
        <v>1131</v>
      </c>
      <c r="AK22" s="12">
        <v>1131</v>
      </c>
      <c r="AL22" s="12">
        <v>1131</v>
      </c>
      <c r="AM22" s="12">
        <v>1131</v>
      </c>
      <c r="AN22" s="12">
        <v>1131</v>
      </c>
      <c r="AO22" s="12">
        <v>1131</v>
      </c>
      <c r="AP22" s="12">
        <v>1131</v>
      </c>
      <c r="AQ22" s="12">
        <v>1131</v>
      </c>
      <c r="AR22" s="12">
        <v>1131</v>
      </c>
      <c r="AS22" s="12">
        <v>1131</v>
      </c>
      <c r="AT22" s="12">
        <v>1131</v>
      </c>
      <c r="AU22" s="12">
        <v>1131</v>
      </c>
      <c r="AV22" s="12">
        <v>1131</v>
      </c>
      <c r="AW22" s="12">
        <v>1131</v>
      </c>
      <c r="AX22" s="12">
        <v>1131</v>
      </c>
      <c r="AY22" s="12">
        <v>1131</v>
      </c>
      <c r="AZ22" s="12">
        <v>1131</v>
      </c>
      <c r="BA22" s="12">
        <v>1131</v>
      </c>
      <c r="BB22" s="12">
        <v>1131</v>
      </c>
      <c r="BC22" s="12">
        <v>1131</v>
      </c>
      <c r="BD22" s="12">
        <v>1131</v>
      </c>
      <c r="BE22" s="12">
        <v>1131</v>
      </c>
    </row>
    <row r="23" spans="1:58" s="23" customFormat="1" x14ac:dyDescent="0.25">
      <c r="A23" s="23">
        <v>8</v>
      </c>
      <c r="B23" s="23" t="s">
        <v>110</v>
      </c>
      <c r="D23" s="23">
        <f>D22*D21*1000</f>
        <v>26465400.000000104</v>
      </c>
      <c r="E23" s="23">
        <f>E22*E21*1000</f>
        <v>26465400.000000104</v>
      </c>
      <c r="F23" s="23">
        <f t="shared" ref="F23:N23" si="6">F22*F21*1000</f>
        <v>26465400.000000104</v>
      </c>
      <c r="G23" s="23">
        <f t="shared" si="6"/>
        <v>26465400.000000104</v>
      </c>
      <c r="H23" s="23">
        <f t="shared" si="6"/>
        <v>26465399.999999586</v>
      </c>
      <c r="I23" s="23">
        <f t="shared" si="6"/>
        <v>80301000</v>
      </c>
      <c r="J23" s="23">
        <f t="shared" si="6"/>
        <v>80301000</v>
      </c>
      <c r="K23" s="23">
        <f t="shared" si="6"/>
        <v>80301000</v>
      </c>
      <c r="L23" s="23">
        <f t="shared" si="6"/>
        <v>80301000</v>
      </c>
      <c r="M23" s="23">
        <f t="shared" si="6"/>
        <v>80301000</v>
      </c>
      <c r="N23" s="23">
        <f t="shared" si="6"/>
        <v>23524800.000000205</v>
      </c>
      <c r="O23" s="23">
        <f>O22*O21*1000</f>
        <v>23524800.000000205</v>
      </c>
      <c r="P23" s="23">
        <f>P22*P21*1000</f>
        <v>23524800.000000205</v>
      </c>
      <c r="Q23" s="23">
        <f t="shared" ref="Q23:BD23" si="7">Q22*Q21*1000</f>
        <v>23524800.000000205</v>
      </c>
      <c r="R23" s="23">
        <f t="shared" si="7"/>
        <v>23524799.999999177</v>
      </c>
      <c r="S23" s="23">
        <f t="shared" si="7"/>
        <v>14137500</v>
      </c>
      <c r="T23" s="23">
        <f t="shared" si="7"/>
        <v>14137500</v>
      </c>
      <c r="U23" s="23">
        <f t="shared" si="7"/>
        <v>14137500</v>
      </c>
      <c r="V23" s="23">
        <f t="shared" si="7"/>
        <v>14137500</v>
      </c>
      <c r="W23" s="23">
        <f t="shared" si="7"/>
        <v>-4806750</v>
      </c>
      <c r="X23" s="23">
        <f t="shared" si="7"/>
        <v>-4806750</v>
      </c>
      <c r="Y23" s="23">
        <f t="shared" si="7"/>
        <v>-4806750</v>
      </c>
      <c r="Z23" s="23">
        <f t="shared" si="7"/>
        <v>-4806750</v>
      </c>
      <c r="AA23" s="23">
        <f t="shared" si="7"/>
        <v>9726599.9999998976</v>
      </c>
      <c r="AB23" s="23">
        <f t="shared" si="7"/>
        <v>9726599.9999998976</v>
      </c>
      <c r="AC23" s="23">
        <f t="shared" si="7"/>
        <v>9726599.9999998976</v>
      </c>
      <c r="AD23" s="23">
        <f t="shared" si="7"/>
        <v>9726599.9999998976</v>
      </c>
      <c r="AE23" s="23">
        <f t="shared" si="7"/>
        <v>9726600.0000004116</v>
      </c>
      <c r="AF23" s="23">
        <f t="shared" si="7"/>
        <v>16350923.549999978</v>
      </c>
      <c r="AG23" s="23">
        <f t="shared" si="7"/>
        <v>16350923.549999978</v>
      </c>
      <c r="AH23" s="23">
        <f t="shared" si="7"/>
        <v>16350923.549999978</v>
      </c>
      <c r="AI23" s="23">
        <f t="shared" si="7"/>
        <v>16350923.549999978</v>
      </c>
      <c r="AJ23" s="23">
        <f t="shared" si="7"/>
        <v>16350923.549999978</v>
      </c>
      <c r="AK23" s="23">
        <f t="shared" si="7"/>
        <v>44949276.45000007</v>
      </c>
      <c r="AL23" s="23">
        <f t="shared" si="7"/>
        <v>44949276.45000007</v>
      </c>
      <c r="AM23" s="23">
        <f t="shared" si="7"/>
        <v>44949276.45000007</v>
      </c>
      <c r="AN23" s="23">
        <f t="shared" si="7"/>
        <v>44949276.45000007</v>
      </c>
      <c r="AO23" s="23">
        <f t="shared" si="7"/>
        <v>44949276.449999817</v>
      </c>
      <c r="AP23" s="23">
        <f t="shared" si="7"/>
        <v>-20810400.000000104</v>
      </c>
      <c r="AQ23" s="23">
        <f t="shared" si="7"/>
        <v>-20810400.000000104</v>
      </c>
      <c r="AR23" s="23">
        <f t="shared" si="7"/>
        <v>-20810400.000000104</v>
      </c>
      <c r="AS23" s="23">
        <f t="shared" si="7"/>
        <v>-20810400.000000104</v>
      </c>
      <c r="AT23" s="23">
        <f t="shared" si="7"/>
        <v>-20810399.999999586</v>
      </c>
      <c r="AU23" s="23">
        <f t="shared" si="7"/>
        <v>10300178.571428608</v>
      </c>
      <c r="AV23" s="23">
        <f t="shared" si="7"/>
        <v>10300178.571428608</v>
      </c>
      <c r="AW23" s="23">
        <f t="shared" si="7"/>
        <v>10300178.571428608</v>
      </c>
      <c r="AX23" s="23">
        <f t="shared" si="7"/>
        <v>10300178.571428608</v>
      </c>
      <c r="AY23" s="23">
        <f t="shared" si="7"/>
        <v>10300178.571428608</v>
      </c>
      <c r="AZ23" s="23">
        <f t="shared" si="7"/>
        <v>10300178.571428608</v>
      </c>
      <c r="BA23" s="23">
        <f t="shared" si="7"/>
        <v>3629379</v>
      </c>
      <c r="BB23" s="23">
        <f t="shared" si="7"/>
        <v>3822779.9999999995</v>
      </c>
      <c r="BC23" s="23">
        <f t="shared" si="7"/>
        <v>3754919.9999999995</v>
      </c>
      <c r="BD23" s="23">
        <f t="shared" si="7"/>
        <v>4046181.2496075355</v>
      </c>
      <c r="BE23" s="23">
        <f>BE22*BE21*1000</f>
        <v>4675109.9858712712</v>
      </c>
    </row>
    <row r="24" spans="1:58" ht="14" x14ac:dyDescent="0.3">
      <c r="C24"/>
    </row>
    <row r="26" spans="1:58" ht="14" x14ac:dyDescent="0.3">
      <c r="C26"/>
    </row>
    <row r="28" spans="1:58" x14ac:dyDescent="0.25">
      <c r="A28" s="130" t="s">
        <v>11</v>
      </c>
      <c r="B28" s="130"/>
    </row>
    <row r="29" spans="1:58" ht="14" x14ac:dyDescent="0.3">
      <c r="A29">
        <v>1</v>
      </c>
      <c r="B29" s="7" t="s">
        <v>98</v>
      </c>
    </row>
    <row r="30" spans="1:58" x14ac:dyDescent="0.25">
      <c r="A30" s="7">
        <v>2</v>
      </c>
      <c r="B30" s="7" t="s">
        <v>111</v>
      </c>
    </row>
    <row r="31" spans="1:58" ht="14" x14ac:dyDescent="0.3">
      <c r="A31">
        <v>3</v>
      </c>
      <c r="B31" s="7" t="s">
        <v>112</v>
      </c>
    </row>
    <row r="32" spans="1:58" x14ac:dyDescent="0.25">
      <c r="A32" s="7">
        <v>4</v>
      </c>
      <c r="B32" s="7" t="s">
        <v>113</v>
      </c>
    </row>
    <row r="33" spans="1:11" ht="14" x14ac:dyDescent="0.3">
      <c r="A33">
        <v>5</v>
      </c>
      <c r="B33" s="7" t="s">
        <v>114</v>
      </c>
    </row>
    <row r="34" spans="1:11" x14ac:dyDescent="0.25">
      <c r="A34" s="7">
        <v>6</v>
      </c>
      <c r="B34" s="7" t="s">
        <v>115</v>
      </c>
    </row>
    <row r="35" spans="1:11" ht="14" x14ac:dyDescent="0.3">
      <c r="A35">
        <v>7</v>
      </c>
      <c r="B35" s="7" t="s">
        <v>116</v>
      </c>
    </row>
    <row r="36" spans="1:11" x14ac:dyDescent="0.25">
      <c r="A36" s="7">
        <v>8</v>
      </c>
      <c r="B36" s="7" t="s">
        <v>117</v>
      </c>
    </row>
    <row r="39" spans="1:11" ht="14" x14ac:dyDescent="0.3">
      <c r="A39" s="130" t="s">
        <v>118</v>
      </c>
      <c r="B39" s="131"/>
    </row>
    <row r="40" spans="1:11" x14ac:dyDescent="0.25">
      <c r="A40" s="7" t="s">
        <v>119</v>
      </c>
    </row>
    <row r="43" spans="1:11" ht="14" x14ac:dyDescent="0.3">
      <c r="A43" s="130" t="s">
        <v>18</v>
      </c>
      <c r="B43" s="131"/>
    </row>
    <row r="44" spans="1:11" ht="408.75" customHeight="1" x14ac:dyDescent="0.25">
      <c r="A44" s="143" t="s">
        <v>120</v>
      </c>
      <c r="B44" s="144"/>
      <c r="C44" s="144"/>
      <c r="D44" s="144"/>
      <c r="E44" s="144"/>
      <c r="F44" s="144"/>
      <c r="G44" s="142"/>
      <c r="H44" s="142"/>
      <c r="I44" s="142"/>
      <c r="J44" s="15"/>
      <c r="K44" s="15"/>
    </row>
    <row r="47" spans="1:11" ht="14" x14ac:dyDescent="0.3">
      <c r="A47" s="130" t="s">
        <v>21</v>
      </c>
      <c r="B47" s="131"/>
    </row>
    <row r="48" spans="1:11" ht="78" customHeight="1" x14ac:dyDescent="0.25">
      <c r="A48" s="129"/>
      <c r="B48" s="132"/>
      <c r="C48" s="132"/>
      <c r="D48" s="132"/>
      <c r="E48" s="132"/>
      <c r="F48" s="132"/>
      <c r="G48" s="132"/>
      <c r="H48" s="132"/>
      <c r="I48" s="132"/>
      <c r="J48" s="132"/>
      <c r="K48" s="132"/>
    </row>
    <row r="50" spans="1:11" ht="14" x14ac:dyDescent="0.3">
      <c r="A50" s="130" t="s">
        <v>22</v>
      </c>
      <c r="B50" s="131"/>
    </row>
    <row r="51" spans="1:11" ht="110" customHeight="1" x14ac:dyDescent="0.25">
      <c r="A51" s="129"/>
      <c r="B51" s="129"/>
      <c r="C51" s="129"/>
      <c r="D51" s="129"/>
      <c r="E51" s="129"/>
      <c r="F51" s="129"/>
      <c r="G51" s="129"/>
      <c r="H51" s="129"/>
      <c r="I51" s="129"/>
      <c r="J51" s="129"/>
      <c r="K51" s="129"/>
    </row>
    <row r="53" spans="1:11" customFormat="1" x14ac:dyDescent="0.3"/>
    <row r="54" spans="1:11" customFormat="1" x14ac:dyDescent="0.3"/>
    <row r="55" spans="1:11" customFormat="1" ht="107" customHeight="1" x14ac:dyDescent="0.3"/>
    <row r="56" spans="1:11" customFormat="1" x14ac:dyDescent="0.3"/>
    <row r="57" spans="1:11" customFormat="1" x14ac:dyDescent="0.3"/>
    <row r="58" spans="1:11" ht="15.75" customHeight="1" x14ac:dyDescent="0.25">
      <c r="A58" s="20"/>
    </row>
  </sheetData>
  <mergeCells count="11">
    <mergeCell ref="A7:B7"/>
    <mergeCell ref="A14:B14"/>
    <mergeCell ref="A28:B28"/>
    <mergeCell ref="A39:B39"/>
    <mergeCell ref="A43:B43"/>
    <mergeCell ref="G44:I44"/>
    <mergeCell ref="A47:B47"/>
    <mergeCell ref="A48:K48"/>
    <mergeCell ref="A50:B50"/>
    <mergeCell ref="A51:K51"/>
    <mergeCell ref="A44:F44"/>
  </mergeCells>
  <pageMargins left="0.75000000000000011" right="0.75000000000000011" top="1" bottom="1" header="0.5" footer="0.5"/>
  <pageSetup orientation="portrait" horizontalDpi="4294967292" verticalDpi="429496729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53"/>
  <sheetViews>
    <sheetView zoomScale="90" zoomScaleNormal="90" workbookViewId="0">
      <pane xSplit="2" ySplit="2" topLeftCell="F39" activePane="bottomRight" state="frozen"/>
      <selection activeCell="AV27" sqref="AV27"/>
      <selection pane="topRight" activeCell="AV27" sqref="AV27"/>
      <selection pane="bottomLeft" activeCell="AV27" sqref="AV27"/>
      <selection pane="bottomRight" activeCell="G39" sqref="G39"/>
    </sheetView>
  </sheetViews>
  <sheetFormatPr defaultColWidth="11" defaultRowHeight="13.5" x14ac:dyDescent="0.25"/>
  <cols>
    <col min="1" max="1" width="10.53515625" style="7" customWidth="1"/>
    <col min="2" max="2" width="50.53515625" style="7" customWidth="1"/>
    <col min="3" max="60" width="14.53515625" style="7" customWidth="1"/>
    <col min="61" max="16384" width="11" style="7"/>
  </cols>
  <sheetData>
    <row r="1" spans="1:56" s="2" customFormat="1" ht="18" thickBot="1" x14ac:dyDescent="0.4">
      <c r="A1" s="1" t="s">
        <v>121</v>
      </c>
      <c r="B1" s="1"/>
      <c r="C1" s="1"/>
      <c r="D1" s="1"/>
      <c r="E1" s="1"/>
      <c r="F1" s="1"/>
    </row>
    <row r="2" spans="1:56" s="4" customFormat="1" ht="14" thickTop="1" x14ac:dyDescent="0.25">
      <c r="B2" s="5" t="s">
        <v>1</v>
      </c>
      <c r="C2" s="4">
        <v>1960</v>
      </c>
      <c r="D2" s="4">
        <v>1961</v>
      </c>
      <c r="E2" s="4">
        <v>1962</v>
      </c>
      <c r="F2" s="4">
        <v>1963</v>
      </c>
      <c r="G2" s="4">
        <v>1964</v>
      </c>
      <c r="H2" s="4">
        <v>1965</v>
      </c>
      <c r="I2" s="4">
        <v>1966</v>
      </c>
      <c r="J2" s="4">
        <v>1967</v>
      </c>
      <c r="K2" s="4">
        <v>1968</v>
      </c>
      <c r="L2" s="4">
        <v>1969</v>
      </c>
      <c r="M2" s="4">
        <v>1970</v>
      </c>
      <c r="N2" s="4">
        <v>1971</v>
      </c>
      <c r="O2" s="4">
        <v>1972</v>
      </c>
      <c r="P2" s="4">
        <v>1973</v>
      </c>
      <c r="Q2" s="4">
        <v>1974</v>
      </c>
      <c r="R2" s="4">
        <v>1975</v>
      </c>
      <c r="S2" s="4">
        <v>1976</v>
      </c>
      <c r="T2" s="4">
        <v>1977</v>
      </c>
      <c r="U2" s="4">
        <v>1978</v>
      </c>
      <c r="V2" s="4">
        <v>1979</v>
      </c>
      <c r="W2" s="4">
        <v>1980</v>
      </c>
      <c r="X2" s="4">
        <v>1981</v>
      </c>
      <c r="Y2" s="4">
        <v>1982</v>
      </c>
      <c r="Z2" s="4">
        <v>1983</v>
      </c>
      <c r="AA2" s="4">
        <v>1984</v>
      </c>
      <c r="AB2" s="4">
        <v>1985</v>
      </c>
      <c r="AC2" s="4">
        <v>1986</v>
      </c>
      <c r="AD2" s="4">
        <v>1987</v>
      </c>
      <c r="AE2" s="4">
        <v>1988</v>
      </c>
      <c r="AF2" s="4">
        <v>1989</v>
      </c>
      <c r="AG2" s="4">
        <v>1990</v>
      </c>
      <c r="AH2" s="4">
        <v>1991</v>
      </c>
      <c r="AI2" s="4">
        <v>1992</v>
      </c>
      <c r="AJ2" s="4">
        <v>1993</v>
      </c>
      <c r="AK2" s="4">
        <v>1994</v>
      </c>
      <c r="AL2" s="4">
        <v>1995</v>
      </c>
      <c r="AM2" s="4">
        <v>1996</v>
      </c>
      <c r="AN2" s="4">
        <v>1997</v>
      </c>
      <c r="AO2" s="4">
        <v>1998</v>
      </c>
      <c r="AP2" s="4">
        <v>1999</v>
      </c>
      <c r="AQ2" s="4">
        <v>2000</v>
      </c>
      <c r="AR2" s="4">
        <v>2001</v>
      </c>
      <c r="AS2" s="4">
        <v>2002</v>
      </c>
      <c r="AT2" s="4">
        <v>2003</v>
      </c>
      <c r="AU2" s="4">
        <v>2004</v>
      </c>
      <c r="AV2" s="4">
        <v>2005</v>
      </c>
      <c r="AW2" s="4">
        <v>2006</v>
      </c>
      <c r="AX2" s="4">
        <v>2007</v>
      </c>
      <c r="AY2" s="4">
        <v>2008</v>
      </c>
      <c r="AZ2" s="4">
        <v>2009</v>
      </c>
      <c r="BA2" s="4">
        <v>2010</v>
      </c>
      <c r="BB2" s="4">
        <v>2011</v>
      </c>
      <c r="BC2" s="4">
        <v>2012</v>
      </c>
      <c r="BD2" s="4">
        <v>2013</v>
      </c>
    </row>
    <row r="3" spans="1:56" s="59" customFormat="1" x14ac:dyDescent="0.25">
      <c r="A3" s="58">
        <v>1</v>
      </c>
      <c r="B3" s="59" t="s">
        <v>122</v>
      </c>
      <c r="C3" s="59">
        <f t="shared" ref="C3:BB3" si="0">C15</f>
        <v>0.8532634219199986</v>
      </c>
      <c r="D3" s="59">
        <f t="shared" si="0"/>
        <v>0.85219302191999868</v>
      </c>
      <c r="E3" s="59">
        <f t="shared" si="0"/>
        <v>0.85112262191999866</v>
      </c>
      <c r="F3" s="59">
        <f t="shared" si="0"/>
        <v>0.85005222191999863</v>
      </c>
      <c r="G3" s="59">
        <f t="shared" si="0"/>
        <v>0.8489818219199986</v>
      </c>
      <c r="H3" s="59">
        <f t="shared" si="0"/>
        <v>0.85625719691999869</v>
      </c>
      <c r="I3" s="59">
        <f t="shared" si="0"/>
        <v>0.86353257191999866</v>
      </c>
      <c r="J3" s="59">
        <f t="shared" si="0"/>
        <v>0.87080794691999863</v>
      </c>
      <c r="K3" s="59">
        <f t="shared" si="0"/>
        <v>0.87808332191999861</v>
      </c>
      <c r="L3" s="59">
        <f t="shared" si="0"/>
        <v>0.88535869691999869</v>
      </c>
      <c r="M3" s="59">
        <f t="shared" si="0"/>
        <v>0.89263407191999866</v>
      </c>
      <c r="N3" s="59">
        <f t="shared" si="0"/>
        <v>0.89990944691999863</v>
      </c>
      <c r="O3" s="59">
        <f t="shared" si="0"/>
        <v>0.90718482191999861</v>
      </c>
      <c r="P3" s="59">
        <f t="shared" si="0"/>
        <v>0.91446019691999869</v>
      </c>
      <c r="Q3" s="59">
        <f t="shared" si="0"/>
        <v>0.92173557191999866</v>
      </c>
      <c r="R3" s="59">
        <f t="shared" si="0"/>
        <v>0.92901094691999864</v>
      </c>
      <c r="S3" s="59">
        <f t="shared" si="0"/>
        <v>0.93628632191999861</v>
      </c>
      <c r="T3" s="59">
        <f t="shared" si="0"/>
        <v>0.93822642191999861</v>
      </c>
      <c r="U3" s="59">
        <f t="shared" si="0"/>
        <v>0.94016652191999861</v>
      </c>
      <c r="V3" s="59">
        <f t="shared" si="0"/>
        <v>0.94210662191999861</v>
      </c>
      <c r="W3" s="59">
        <f t="shared" si="0"/>
        <v>0.94404672191999861</v>
      </c>
      <c r="X3" s="59">
        <f t="shared" si="0"/>
        <v>0.94598682191999861</v>
      </c>
      <c r="Y3" s="59">
        <f t="shared" si="0"/>
        <v>0.94792692191999861</v>
      </c>
      <c r="Z3" s="59">
        <f t="shared" si="0"/>
        <v>0.94986702191999861</v>
      </c>
      <c r="AA3" s="59">
        <f t="shared" si="0"/>
        <v>0.95180712191999861</v>
      </c>
      <c r="AB3" s="59">
        <f t="shared" si="0"/>
        <v>0.95374722191999861</v>
      </c>
      <c r="AC3" s="59">
        <f t="shared" si="0"/>
        <v>0.95568732191999861</v>
      </c>
      <c r="AD3" s="59">
        <f t="shared" si="0"/>
        <v>0.95772777191999869</v>
      </c>
      <c r="AE3" s="59">
        <f t="shared" si="0"/>
        <v>0.95976822191999867</v>
      </c>
      <c r="AF3" s="59">
        <f t="shared" si="0"/>
        <v>0.96180867191999864</v>
      </c>
      <c r="AG3" s="59">
        <f t="shared" si="0"/>
        <v>0.96384912191999861</v>
      </c>
      <c r="AH3" s="59">
        <f t="shared" si="0"/>
        <v>0.96588957191999869</v>
      </c>
      <c r="AI3" s="59">
        <f t="shared" si="0"/>
        <v>0.96793002191999866</v>
      </c>
      <c r="AJ3" s="59">
        <f t="shared" si="0"/>
        <v>0.96997047191999863</v>
      </c>
      <c r="AK3" s="59">
        <f t="shared" si="0"/>
        <v>0.97201092191999861</v>
      </c>
      <c r="AL3" s="59">
        <f t="shared" si="0"/>
        <v>0.97405137191999869</v>
      </c>
      <c r="AM3" s="59">
        <f t="shared" si="0"/>
        <v>0.97609182191999866</v>
      </c>
      <c r="AN3" s="59">
        <f t="shared" si="0"/>
        <v>0.97813227191999863</v>
      </c>
      <c r="AO3" s="59">
        <f t="shared" si="0"/>
        <v>0.9801727219199986</v>
      </c>
      <c r="AP3" s="59">
        <f t="shared" si="0"/>
        <v>0.98221317191999868</v>
      </c>
      <c r="AQ3" s="59">
        <f t="shared" si="0"/>
        <v>0.98492262191999869</v>
      </c>
      <c r="AR3" s="59">
        <f t="shared" si="0"/>
        <v>0.98763207191999869</v>
      </c>
      <c r="AS3" s="59">
        <f t="shared" si="0"/>
        <v>0.99034152191999869</v>
      </c>
      <c r="AT3" s="59">
        <f t="shared" si="0"/>
        <v>0.99305097191999869</v>
      </c>
      <c r="AU3" s="59">
        <f t="shared" si="0"/>
        <v>0.9957604219199987</v>
      </c>
      <c r="AV3" s="59">
        <f t="shared" si="0"/>
        <v>0.9984698719199987</v>
      </c>
      <c r="AW3" s="59">
        <f t="shared" si="0"/>
        <v>1.0011793219199987</v>
      </c>
      <c r="AX3" s="59">
        <f t="shared" si="0"/>
        <v>1.0038887719199987</v>
      </c>
      <c r="AY3" s="59">
        <f t="shared" si="0"/>
        <v>1.0065982219199987</v>
      </c>
      <c r="AZ3" s="59">
        <f t="shared" si="0"/>
        <v>1.0195433719199987</v>
      </c>
      <c r="BA3" s="59">
        <f t="shared" si="0"/>
        <v>1.0098428719199986</v>
      </c>
      <c r="BB3" s="59">
        <f t="shared" si="0"/>
        <v>1.0172018719199987</v>
      </c>
      <c r="BC3" s="59">
        <f>BC15</f>
        <v>1.0218848719199987</v>
      </c>
      <c r="BD3" s="59">
        <f>BD15</f>
        <v>1.0163746534199987</v>
      </c>
    </row>
    <row r="4" spans="1:56" s="28" customFormat="1" x14ac:dyDescent="0.25">
      <c r="A4" s="28">
        <v>2</v>
      </c>
      <c r="B4" s="28" t="s">
        <v>123</v>
      </c>
      <c r="C4" s="28">
        <f>D4-3.2</f>
        <v>2951.2000000000007</v>
      </c>
      <c r="D4" s="28">
        <f>E4-3.2</f>
        <v>2954.4000000000005</v>
      </c>
      <c r="E4" s="28">
        <f>F4-3.2</f>
        <v>2957.6000000000004</v>
      </c>
      <c r="F4" s="28">
        <f>G4-3.2</f>
        <v>2960.8</v>
      </c>
      <c r="G4" s="60">
        <v>2964</v>
      </c>
      <c r="H4" s="28">
        <f t="shared" ref="H4:R4" si="1">G4-21.75</f>
        <v>2942.25</v>
      </c>
      <c r="I4" s="28">
        <f t="shared" si="1"/>
        <v>2920.5</v>
      </c>
      <c r="J4" s="28">
        <f t="shared" si="1"/>
        <v>2898.75</v>
      </c>
      <c r="K4" s="28">
        <f t="shared" si="1"/>
        <v>2877</v>
      </c>
      <c r="L4" s="28">
        <f t="shared" si="1"/>
        <v>2855.25</v>
      </c>
      <c r="M4" s="28">
        <f t="shared" si="1"/>
        <v>2833.5</v>
      </c>
      <c r="N4" s="28">
        <f t="shared" si="1"/>
        <v>2811.75</v>
      </c>
      <c r="O4" s="28">
        <f t="shared" si="1"/>
        <v>2790</v>
      </c>
      <c r="P4" s="28">
        <f t="shared" si="1"/>
        <v>2768.25</v>
      </c>
      <c r="Q4" s="28">
        <f t="shared" si="1"/>
        <v>2746.5</v>
      </c>
      <c r="R4" s="28">
        <f t="shared" si="1"/>
        <v>2724.75</v>
      </c>
      <c r="S4" s="60">
        <v>2703</v>
      </c>
      <c r="T4" s="28">
        <f t="shared" ref="T4:AB4" si="2">S4-5.8</f>
        <v>2697.2</v>
      </c>
      <c r="U4" s="28">
        <f t="shared" si="2"/>
        <v>2691.3999999999996</v>
      </c>
      <c r="V4" s="28">
        <f t="shared" si="2"/>
        <v>2685.5999999999995</v>
      </c>
      <c r="W4" s="28">
        <f t="shared" si="2"/>
        <v>2679.7999999999993</v>
      </c>
      <c r="X4" s="28">
        <f t="shared" si="2"/>
        <v>2673.9999999999991</v>
      </c>
      <c r="Y4" s="28">
        <f t="shared" si="2"/>
        <v>2668.1999999999989</v>
      </c>
      <c r="Z4" s="28">
        <f t="shared" si="2"/>
        <v>2662.3999999999987</v>
      </c>
      <c r="AA4" s="28">
        <f t="shared" si="2"/>
        <v>2656.5999999999985</v>
      </c>
      <c r="AB4" s="28">
        <f t="shared" si="2"/>
        <v>2650.7999999999984</v>
      </c>
      <c r="AC4" s="60">
        <v>2645</v>
      </c>
      <c r="AD4" s="28">
        <f t="shared" ref="AD4:AO4" si="3">AC4-6.1</f>
        <v>2638.9</v>
      </c>
      <c r="AE4" s="28">
        <f t="shared" si="3"/>
        <v>2632.8</v>
      </c>
      <c r="AF4" s="28">
        <f t="shared" si="3"/>
        <v>2626.7000000000003</v>
      </c>
      <c r="AG4" s="28">
        <f t="shared" si="3"/>
        <v>2620.6000000000004</v>
      </c>
      <c r="AH4" s="28">
        <f t="shared" si="3"/>
        <v>2614.5000000000005</v>
      </c>
      <c r="AI4" s="28">
        <f t="shared" si="3"/>
        <v>2608.4000000000005</v>
      </c>
      <c r="AJ4" s="28">
        <f t="shared" si="3"/>
        <v>2602.3000000000006</v>
      </c>
      <c r="AK4" s="28">
        <f t="shared" si="3"/>
        <v>2596.2000000000007</v>
      </c>
      <c r="AL4" s="28">
        <f t="shared" si="3"/>
        <v>2590.1000000000008</v>
      </c>
      <c r="AM4" s="28">
        <f t="shared" si="3"/>
        <v>2584.0000000000009</v>
      </c>
      <c r="AN4" s="28">
        <f t="shared" si="3"/>
        <v>2577.900000000001</v>
      </c>
      <c r="AO4" s="28">
        <f t="shared" si="3"/>
        <v>2571.8000000000011</v>
      </c>
      <c r="AP4" s="60">
        <v>2565</v>
      </c>
      <c r="AQ4" s="28">
        <f t="shared" ref="AQ4:AX4" si="4">AP4-8.1</f>
        <v>2556.9</v>
      </c>
      <c r="AR4" s="28">
        <f t="shared" si="4"/>
        <v>2548.8000000000002</v>
      </c>
      <c r="AS4" s="28">
        <f t="shared" si="4"/>
        <v>2540.7000000000003</v>
      </c>
      <c r="AT4" s="28">
        <f t="shared" si="4"/>
        <v>2532.6000000000004</v>
      </c>
      <c r="AU4" s="28">
        <f t="shared" si="4"/>
        <v>2524.5000000000005</v>
      </c>
      <c r="AV4" s="28">
        <f t="shared" si="4"/>
        <v>2516.4000000000005</v>
      </c>
      <c r="AW4" s="28">
        <f t="shared" si="4"/>
        <v>2508.3000000000006</v>
      </c>
      <c r="AX4" s="28">
        <f t="shared" si="4"/>
        <v>2500.2000000000007</v>
      </c>
      <c r="AY4" s="28">
        <v>2492</v>
      </c>
      <c r="AZ4" s="28">
        <v>2453</v>
      </c>
      <c r="BA4" s="28">
        <v>2482</v>
      </c>
      <c r="BB4" s="28">
        <f t="shared" ref="BB4:BD5" si="5">BB17</f>
        <v>2460</v>
      </c>
      <c r="BC4" s="28">
        <f t="shared" si="5"/>
        <v>2446</v>
      </c>
      <c r="BD4" s="28">
        <f t="shared" si="5"/>
        <v>2462.473</v>
      </c>
    </row>
    <row r="5" spans="1:56" s="28" customFormat="1" x14ac:dyDescent="0.25">
      <c r="A5" s="28">
        <v>3</v>
      </c>
      <c r="B5" s="28" t="s">
        <v>124</v>
      </c>
      <c r="C5" s="28">
        <v>0</v>
      </c>
      <c r="D5" s="28">
        <v>-3200</v>
      </c>
      <c r="E5" s="28">
        <v>-3200</v>
      </c>
      <c r="F5" s="28">
        <v>-3200</v>
      </c>
      <c r="G5" s="28">
        <v>-3200</v>
      </c>
      <c r="H5" s="28">
        <v>21750</v>
      </c>
      <c r="I5" s="28">
        <v>21750</v>
      </c>
      <c r="J5" s="28">
        <v>21750</v>
      </c>
      <c r="K5" s="28">
        <v>21750</v>
      </c>
      <c r="L5" s="28">
        <v>21750</v>
      </c>
      <c r="M5" s="28">
        <v>21750</v>
      </c>
      <c r="N5" s="28">
        <v>21750</v>
      </c>
      <c r="O5" s="28">
        <v>21750</v>
      </c>
      <c r="P5" s="28">
        <v>21750</v>
      </c>
      <c r="Q5" s="28">
        <v>21750</v>
      </c>
      <c r="R5" s="28">
        <v>21750</v>
      </c>
      <c r="S5" s="28">
        <v>21750</v>
      </c>
      <c r="T5" s="28">
        <v>5800</v>
      </c>
      <c r="U5" s="28">
        <v>5800</v>
      </c>
      <c r="V5" s="28">
        <v>5800</v>
      </c>
      <c r="W5" s="28">
        <v>5800</v>
      </c>
      <c r="X5" s="28">
        <v>5800</v>
      </c>
      <c r="Y5" s="28">
        <v>5800</v>
      </c>
      <c r="Z5" s="28">
        <v>5800</v>
      </c>
      <c r="AA5" s="28">
        <v>5800</v>
      </c>
      <c r="AB5" s="28">
        <v>5800</v>
      </c>
      <c r="AC5" s="28">
        <v>5800</v>
      </c>
      <c r="AD5" s="28">
        <v>6100</v>
      </c>
      <c r="AE5" s="28">
        <v>6100</v>
      </c>
      <c r="AF5" s="28">
        <v>6100</v>
      </c>
      <c r="AG5" s="28">
        <v>6100</v>
      </c>
      <c r="AH5" s="28">
        <v>6100</v>
      </c>
      <c r="AI5" s="28">
        <v>6100</v>
      </c>
      <c r="AJ5" s="28">
        <v>6100</v>
      </c>
      <c r="AK5" s="28">
        <v>6100</v>
      </c>
      <c r="AL5" s="28">
        <v>6100</v>
      </c>
      <c r="AM5" s="28">
        <v>6100</v>
      </c>
      <c r="AN5" s="28">
        <v>6100</v>
      </c>
      <c r="AO5" s="28">
        <v>6100</v>
      </c>
      <c r="AP5" s="28">
        <v>6100</v>
      </c>
      <c r="AQ5" s="28">
        <v>8100</v>
      </c>
      <c r="AR5" s="28">
        <v>8100</v>
      </c>
      <c r="AS5" s="28">
        <v>8100</v>
      </c>
      <c r="AT5" s="28">
        <v>8100</v>
      </c>
      <c r="AU5" s="28">
        <v>8100</v>
      </c>
      <c r="AV5" s="28">
        <v>8100</v>
      </c>
      <c r="AW5" s="28">
        <v>8100</v>
      </c>
      <c r="AX5" s="28">
        <v>8100</v>
      </c>
      <c r="AY5" s="28">
        <v>8100</v>
      </c>
      <c r="AZ5" s="28">
        <v>38700</v>
      </c>
      <c r="BA5" s="28">
        <v>-29000</v>
      </c>
      <c r="BB5" s="28">
        <f t="shared" si="5"/>
        <v>22000</v>
      </c>
      <c r="BC5" s="28">
        <f t="shared" si="5"/>
        <v>14000</v>
      </c>
      <c r="BD5" s="28">
        <f t="shared" si="5"/>
        <v>-16472.999999999956</v>
      </c>
    </row>
    <row r="6" spans="1:56" s="28" customFormat="1" x14ac:dyDescent="0.25"/>
    <row r="8" spans="1:56" x14ac:dyDescent="0.25">
      <c r="A8" s="130" t="s">
        <v>4</v>
      </c>
      <c r="B8" s="130"/>
    </row>
    <row r="9" spans="1:56" x14ac:dyDescent="0.25">
      <c r="A9" s="7">
        <v>1</v>
      </c>
      <c r="B9" s="7" t="s">
        <v>125</v>
      </c>
    </row>
    <row r="10" spans="1:56" x14ac:dyDescent="0.25">
      <c r="A10" s="7">
        <v>2</v>
      </c>
      <c r="B10" s="7" t="s">
        <v>126</v>
      </c>
    </row>
    <row r="11" spans="1:56" x14ac:dyDescent="0.25">
      <c r="A11" s="7">
        <v>3</v>
      </c>
      <c r="B11" s="7" t="s">
        <v>127</v>
      </c>
    </row>
    <row r="14" spans="1:56" ht="14" x14ac:dyDescent="0.3">
      <c r="A14" s="130" t="s">
        <v>7</v>
      </c>
      <c r="B14" s="13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row>
    <row r="15" spans="1:56" s="63" customFormat="1" x14ac:dyDescent="0.25">
      <c r="A15" s="62">
        <v>1</v>
      </c>
      <c r="B15" s="63" t="s">
        <v>122</v>
      </c>
      <c r="C15" s="63">
        <f t="shared" ref="C15:BD15" si="6">C16/1000000000</f>
        <v>0.8532634219199986</v>
      </c>
      <c r="D15" s="63">
        <f t="shared" si="6"/>
        <v>0.85219302191999868</v>
      </c>
      <c r="E15" s="63">
        <f t="shared" si="6"/>
        <v>0.85112262191999866</v>
      </c>
      <c r="F15" s="63">
        <f t="shared" si="6"/>
        <v>0.85005222191999863</v>
      </c>
      <c r="G15" s="63">
        <f t="shared" si="6"/>
        <v>0.8489818219199986</v>
      </c>
      <c r="H15" s="63">
        <f t="shared" si="6"/>
        <v>0.85625719691999869</v>
      </c>
      <c r="I15" s="63">
        <f t="shared" si="6"/>
        <v>0.86353257191999866</v>
      </c>
      <c r="J15" s="63">
        <f t="shared" si="6"/>
        <v>0.87080794691999863</v>
      </c>
      <c r="K15" s="63">
        <f t="shared" si="6"/>
        <v>0.87808332191999861</v>
      </c>
      <c r="L15" s="63">
        <f t="shared" si="6"/>
        <v>0.88535869691999869</v>
      </c>
      <c r="M15" s="63">
        <f t="shared" si="6"/>
        <v>0.89263407191999866</v>
      </c>
      <c r="N15" s="63">
        <f t="shared" si="6"/>
        <v>0.89990944691999863</v>
      </c>
      <c r="O15" s="63">
        <f t="shared" si="6"/>
        <v>0.90718482191999861</v>
      </c>
      <c r="P15" s="63">
        <f t="shared" si="6"/>
        <v>0.91446019691999869</v>
      </c>
      <c r="Q15" s="63">
        <f t="shared" si="6"/>
        <v>0.92173557191999866</v>
      </c>
      <c r="R15" s="63">
        <f t="shared" si="6"/>
        <v>0.92901094691999864</v>
      </c>
      <c r="S15" s="63">
        <f t="shared" si="6"/>
        <v>0.93628632191999861</v>
      </c>
      <c r="T15" s="63">
        <f t="shared" si="6"/>
        <v>0.93822642191999861</v>
      </c>
      <c r="U15" s="63">
        <f t="shared" si="6"/>
        <v>0.94016652191999861</v>
      </c>
      <c r="V15" s="63">
        <f t="shared" si="6"/>
        <v>0.94210662191999861</v>
      </c>
      <c r="W15" s="63">
        <f t="shared" si="6"/>
        <v>0.94404672191999861</v>
      </c>
      <c r="X15" s="63">
        <f t="shared" si="6"/>
        <v>0.94598682191999861</v>
      </c>
      <c r="Y15" s="63">
        <f t="shared" si="6"/>
        <v>0.94792692191999861</v>
      </c>
      <c r="Z15" s="63">
        <f t="shared" si="6"/>
        <v>0.94986702191999861</v>
      </c>
      <c r="AA15" s="63">
        <f t="shared" si="6"/>
        <v>0.95180712191999861</v>
      </c>
      <c r="AB15" s="63">
        <f t="shared" si="6"/>
        <v>0.95374722191999861</v>
      </c>
      <c r="AC15" s="63">
        <f t="shared" si="6"/>
        <v>0.95568732191999861</v>
      </c>
      <c r="AD15" s="63">
        <f t="shared" si="6"/>
        <v>0.95772777191999869</v>
      </c>
      <c r="AE15" s="63">
        <f t="shared" si="6"/>
        <v>0.95976822191999867</v>
      </c>
      <c r="AF15" s="63">
        <f t="shared" si="6"/>
        <v>0.96180867191999864</v>
      </c>
      <c r="AG15" s="63">
        <f t="shared" si="6"/>
        <v>0.96384912191999861</v>
      </c>
      <c r="AH15" s="63">
        <f t="shared" si="6"/>
        <v>0.96588957191999869</v>
      </c>
      <c r="AI15" s="63">
        <f t="shared" si="6"/>
        <v>0.96793002191999866</v>
      </c>
      <c r="AJ15" s="63">
        <f t="shared" si="6"/>
        <v>0.96997047191999863</v>
      </c>
      <c r="AK15" s="63">
        <f t="shared" si="6"/>
        <v>0.97201092191999861</v>
      </c>
      <c r="AL15" s="63">
        <f t="shared" si="6"/>
        <v>0.97405137191999869</v>
      </c>
      <c r="AM15" s="63">
        <f t="shared" si="6"/>
        <v>0.97609182191999866</v>
      </c>
      <c r="AN15" s="63">
        <f t="shared" si="6"/>
        <v>0.97813227191999863</v>
      </c>
      <c r="AO15" s="63">
        <f t="shared" si="6"/>
        <v>0.9801727219199986</v>
      </c>
      <c r="AP15" s="63">
        <f t="shared" si="6"/>
        <v>0.98221317191999868</v>
      </c>
      <c r="AQ15" s="63">
        <f t="shared" si="6"/>
        <v>0.98492262191999869</v>
      </c>
      <c r="AR15" s="63">
        <f t="shared" si="6"/>
        <v>0.98763207191999869</v>
      </c>
      <c r="AS15" s="63">
        <f t="shared" si="6"/>
        <v>0.99034152191999869</v>
      </c>
      <c r="AT15" s="63">
        <f t="shared" si="6"/>
        <v>0.99305097191999869</v>
      </c>
      <c r="AU15" s="63">
        <f t="shared" si="6"/>
        <v>0.9957604219199987</v>
      </c>
      <c r="AV15" s="63">
        <f t="shared" si="6"/>
        <v>0.9984698719199987</v>
      </c>
      <c r="AW15" s="63">
        <f t="shared" si="6"/>
        <v>1.0011793219199987</v>
      </c>
      <c r="AX15" s="63">
        <f t="shared" si="6"/>
        <v>1.0038887719199987</v>
      </c>
      <c r="AY15" s="63">
        <f t="shared" si="6"/>
        <v>1.0065982219199987</v>
      </c>
      <c r="AZ15" s="63">
        <f t="shared" si="6"/>
        <v>1.0195433719199987</v>
      </c>
      <c r="BA15" s="63">
        <f t="shared" si="6"/>
        <v>1.0098428719199986</v>
      </c>
      <c r="BB15" s="63">
        <f t="shared" si="6"/>
        <v>1.0172018719199987</v>
      </c>
      <c r="BC15" s="63">
        <f t="shared" si="6"/>
        <v>1.0218848719199987</v>
      </c>
      <c r="BD15" s="63">
        <f t="shared" si="6"/>
        <v>1.0163746534199987</v>
      </c>
    </row>
    <row r="16" spans="1:56" s="41" customFormat="1" x14ac:dyDescent="0.25">
      <c r="A16" s="41">
        <v>2</v>
      </c>
      <c r="B16" s="41" t="s">
        <v>128</v>
      </c>
      <c r="C16" s="41">
        <v>853263421.91999865</v>
      </c>
      <c r="D16" s="41">
        <f t="shared" ref="D16:BB16" si="7">C16+D20</f>
        <v>852193021.91999865</v>
      </c>
      <c r="E16" s="41">
        <f t="shared" si="7"/>
        <v>851122621.91999865</v>
      </c>
      <c r="F16" s="41">
        <f t="shared" si="7"/>
        <v>850052221.91999865</v>
      </c>
      <c r="G16" s="41">
        <f t="shared" si="7"/>
        <v>848981821.91999865</v>
      </c>
      <c r="H16" s="41">
        <f t="shared" si="7"/>
        <v>856257196.91999865</v>
      </c>
      <c r="I16" s="41">
        <f t="shared" si="7"/>
        <v>863532571.91999865</v>
      </c>
      <c r="J16" s="41">
        <f t="shared" si="7"/>
        <v>870807946.91999865</v>
      </c>
      <c r="K16" s="41">
        <f t="shared" si="7"/>
        <v>878083321.91999865</v>
      </c>
      <c r="L16" s="41">
        <f t="shared" si="7"/>
        <v>885358696.91999865</v>
      </c>
      <c r="M16" s="41">
        <f t="shared" si="7"/>
        <v>892634071.91999865</v>
      </c>
      <c r="N16" s="41">
        <f t="shared" si="7"/>
        <v>899909446.91999865</v>
      </c>
      <c r="O16" s="41">
        <f t="shared" si="7"/>
        <v>907184821.91999865</v>
      </c>
      <c r="P16" s="41">
        <f t="shared" si="7"/>
        <v>914460196.91999865</v>
      </c>
      <c r="Q16" s="41">
        <f t="shared" si="7"/>
        <v>921735571.91999865</v>
      </c>
      <c r="R16" s="41">
        <f t="shared" si="7"/>
        <v>929010946.91999865</v>
      </c>
      <c r="S16" s="41">
        <f t="shared" si="7"/>
        <v>936286321.91999865</v>
      </c>
      <c r="T16" s="41">
        <f t="shared" si="7"/>
        <v>938226421.91999865</v>
      </c>
      <c r="U16" s="41">
        <f t="shared" si="7"/>
        <v>940166521.91999865</v>
      </c>
      <c r="V16" s="41">
        <f t="shared" si="7"/>
        <v>942106621.91999865</v>
      </c>
      <c r="W16" s="41">
        <f t="shared" si="7"/>
        <v>944046721.91999865</v>
      </c>
      <c r="X16" s="41">
        <f t="shared" si="7"/>
        <v>945986821.91999865</v>
      </c>
      <c r="Y16" s="41">
        <f t="shared" si="7"/>
        <v>947926921.91999865</v>
      </c>
      <c r="Z16" s="41">
        <f t="shared" si="7"/>
        <v>949867021.91999865</v>
      </c>
      <c r="AA16" s="41">
        <f t="shared" si="7"/>
        <v>951807121.91999865</v>
      </c>
      <c r="AB16" s="41">
        <f t="shared" si="7"/>
        <v>953747221.91999865</v>
      </c>
      <c r="AC16" s="41">
        <f t="shared" si="7"/>
        <v>955687321.91999865</v>
      </c>
      <c r="AD16" s="41">
        <f t="shared" si="7"/>
        <v>957727771.91999865</v>
      </c>
      <c r="AE16" s="41">
        <f t="shared" si="7"/>
        <v>959768221.91999865</v>
      </c>
      <c r="AF16" s="41">
        <f t="shared" si="7"/>
        <v>961808671.91999865</v>
      </c>
      <c r="AG16" s="41">
        <f t="shared" si="7"/>
        <v>963849121.91999865</v>
      </c>
      <c r="AH16" s="41">
        <f t="shared" si="7"/>
        <v>965889571.91999865</v>
      </c>
      <c r="AI16" s="41">
        <f t="shared" si="7"/>
        <v>967930021.91999865</v>
      </c>
      <c r="AJ16" s="41">
        <f t="shared" si="7"/>
        <v>969970471.91999865</v>
      </c>
      <c r="AK16" s="41">
        <f t="shared" si="7"/>
        <v>972010921.91999865</v>
      </c>
      <c r="AL16" s="41">
        <f t="shared" si="7"/>
        <v>974051371.91999865</v>
      </c>
      <c r="AM16" s="41">
        <f t="shared" si="7"/>
        <v>976091821.91999865</v>
      </c>
      <c r="AN16" s="41">
        <f t="shared" si="7"/>
        <v>978132271.91999865</v>
      </c>
      <c r="AO16" s="41">
        <f t="shared" si="7"/>
        <v>980172721.91999865</v>
      </c>
      <c r="AP16" s="41">
        <f t="shared" si="7"/>
        <v>982213171.91999865</v>
      </c>
      <c r="AQ16" s="41">
        <f t="shared" si="7"/>
        <v>984922621.91999865</v>
      </c>
      <c r="AR16" s="41">
        <f t="shared" si="7"/>
        <v>987632071.91999865</v>
      </c>
      <c r="AS16" s="41">
        <f t="shared" si="7"/>
        <v>990341521.91999865</v>
      </c>
      <c r="AT16" s="41">
        <f t="shared" si="7"/>
        <v>993050971.91999865</v>
      </c>
      <c r="AU16" s="41">
        <f t="shared" si="7"/>
        <v>995760421.91999865</v>
      </c>
      <c r="AV16" s="41">
        <f t="shared" si="7"/>
        <v>998469871.91999865</v>
      </c>
      <c r="AW16" s="41">
        <f t="shared" si="7"/>
        <v>1001179321.9199986</v>
      </c>
      <c r="AX16" s="41">
        <f t="shared" si="7"/>
        <v>1003888771.9199986</v>
      </c>
      <c r="AY16" s="41">
        <f t="shared" si="7"/>
        <v>1006598221.9199986</v>
      </c>
      <c r="AZ16" s="41">
        <f t="shared" si="7"/>
        <v>1019543371.9199986</v>
      </c>
      <c r="BA16" s="41">
        <f t="shared" si="7"/>
        <v>1009842871.9199986</v>
      </c>
      <c r="BB16" s="41">
        <f t="shared" si="7"/>
        <v>1017201871.9199986</v>
      </c>
      <c r="BC16" s="41">
        <f>BB16+BC20</f>
        <v>1021884871.9199986</v>
      </c>
      <c r="BD16" s="41">
        <f>BC16+BD20</f>
        <v>1016374653.4199986</v>
      </c>
    </row>
    <row r="17" spans="1:56" s="64" customFormat="1" x14ac:dyDescent="0.25">
      <c r="A17" s="64">
        <v>5</v>
      </c>
      <c r="B17" s="64" t="s">
        <v>123</v>
      </c>
      <c r="C17" s="64">
        <f>D17-3.2</f>
        <v>2951.2000000000007</v>
      </c>
      <c r="D17" s="64">
        <f>E17-3.2</f>
        <v>2954.4000000000005</v>
      </c>
      <c r="E17" s="64">
        <f>F17-3.2</f>
        <v>2957.6000000000004</v>
      </c>
      <c r="F17" s="64">
        <f>G17-3.2</f>
        <v>2960.8</v>
      </c>
      <c r="G17" s="64">
        <v>2964</v>
      </c>
      <c r="H17" s="64">
        <f t="shared" ref="H17:R17" si="8">G17-21.75</f>
        <v>2942.25</v>
      </c>
      <c r="I17" s="64">
        <f t="shared" si="8"/>
        <v>2920.5</v>
      </c>
      <c r="J17" s="64">
        <f t="shared" si="8"/>
        <v>2898.75</v>
      </c>
      <c r="K17" s="64">
        <f t="shared" si="8"/>
        <v>2877</v>
      </c>
      <c r="L17" s="64">
        <f t="shared" si="8"/>
        <v>2855.25</v>
      </c>
      <c r="M17" s="64">
        <f t="shared" si="8"/>
        <v>2833.5</v>
      </c>
      <c r="N17" s="64">
        <f t="shared" si="8"/>
        <v>2811.75</v>
      </c>
      <c r="O17" s="64">
        <f t="shared" si="8"/>
        <v>2790</v>
      </c>
      <c r="P17" s="64">
        <f t="shared" si="8"/>
        <v>2768.25</v>
      </c>
      <c r="Q17" s="64">
        <f t="shared" si="8"/>
        <v>2746.5</v>
      </c>
      <c r="R17" s="64">
        <f t="shared" si="8"/>
        <v>2724.75</v>
      </c>
      <c r="S17" s="64">
        <v>2703</v>
      </c>
      <c r="T17" s="64">
        <f t="shared" ref="T17:AB17" si="9">S17-5.8</f>
        <v>2697.2</v>
      </c>
      <c r="U17" s="64">
        <f t="shared" si="9"/>
        <v>2691.3999999999996</v>
      </c>
      <c r="V17" s="64">
        <f t="shared" si="9"/>
        <v>2685.5999999999995</v>
      </c>
      <c r="W17" s="64">
        <f t="shared" si="9"/>
        <v>2679.7999999999993</v>
      </c>
      <c r="X17" s="64">
        <f t="shared" si="9"/>
        <v>2673.9999999999991</v>
      </c>
      <c r="Y17" s="64">
        <f t="shared" si="9"/>
        <v>2668.1999999999989</v>
      </c>
      <c r="Z17" s="64">
        <f t="shared" si="9"/>
        <v>2662.3999999999987</v>
      </c>
      <c r="AA17" s="64">
        <f t="shared" si="9"/>
        <v>2656.5999999999985</v>
      </c>
      <c r="AB17" s="64">
        <f t="shared" si="9"/>
        <v>2650.7999999999984</v>
      </c>
      <c r="AC17" s="64">
        <v>2645</v>
      </c>
      <c r="AD17" s="64">
        <f t="shared" ref="AD17:AO17" si="10">AC17-6.1</f>
        <v>2638.9</v>
      </c>
      <c r="AE17" s="64">
        <f t="shared" si="10"/>
        <v>2632.8</v>
      </c>
      <c r="AF17" s="64">
        <f t="shared" si="10"/>
        <v>2626.7000000000003</v>
      </c>
      <c r="AG17" s="64">
        <f t="shared" si="10"/>
        <v>2620.6000000000004</v>
      </c>
      <c r="AH17" s="64">
        <f t="shared" si="10"/>
        <v>2614.5000000000005</v>
      </c>
      <c r="AI17" s="64">
        <f t="shared" si="10"/>
        <v>2608.4000000000005</v>
      </c>
      <c r="AJ17" s="64">
        <f t="shared" si="10"/>
        <v>2602.3000000000006</v>
      </c>
      <c r="AK17" s="64">
        <f t="shared" si="10"/>
        <v>2596.2000000000007</v>
      </c>
      <c r="AL17" s="64">
        <f t="shared" si="10"/>
        <v>2590.1000000000008</v>
      </c>
      <c r="AM17" s="64">
        <f t="shared" si="10"/>
        <v>2584.0000000000009</v>
      </c>
      <c r="AN17" s="64">
        <f t="shared" si="10"/>
        <v>2577.900000000001</v>
      </c>
      <c r="AO17" s="64">
        <f t="shared" si="10"/>
        <v>2571.8000000000011</v>
      </c>
      <c r="AP17" s="64">
        <v>2565</v>
      </c>
      <c r="AQ17" s="64">
        <f t="shared" ref="AQ17:AX17" si="11">AP17-8.1</f>
        <v>2556.9</v>
      </c>
      <c r="AR17" s="64">
        <f t="shared" si="11"/>
        <v>2548.8000000000002</v>
      </c>
      <c r="AS17" s="64">
        <f t="shared" si="11"/>
        <v>2540.7000000000003</v>
      </c>
      <c r="AT17" s="64">
        <f t="shared" si="11"/>
        <v>2532.6000000000004</v>
      </c>
      <c r="AU17" s="64">
        <f t="shared" si="11"/>
        <v>2524.5000000000005</v>
      </c>
      <c r="AV17" s="64">
        <f t="shared" si="11"/>
        <v>2516.4000000000005</v>
      </c>
      <c r="AW17" s="64">
        <f t="shared" si="11"/>
        <v>2508.3000000000006</v>
      </c>
      <c r="AX17" s="64">
        <f t="shared" si="11"/>
        <v>2500.2000000000007</v>
      </c>
      <c r="AY17" s="64">
        <v>2492</v>
      </c>
      <c r="AZ17" s="64">
        <v>2453</v>
      </c>
      <c r="BA17" s="64">
        <v>2482</v>
      </c>
      <c r="BB17" s="64">
        <v>2460</v>
      </c>
      <c r="BC17" s="64">
        <v>2446</v>
      </c>
      <c r="BD17" s="64">
        <f>2462473/1000</f>
        <v>2462.473</v>
      </c>
    </row>
    <row r="18" spans="1:56" s="64" customFormat="1" x14ac:dyDescent="0.25">
      <c r="A18" s="64">
        <v>6</v>
      </c>
      <c r="B18" s="64" t="s">
        <v>124</v>
      </c>
      <c r="D18" s="64">
        <v>-3200</v>
      </c>
      <c r="E18" s="64">
        <v>-3200</v>
      </c>
      <c r="F18" s="64">
        <v>-3200</v>
      </c>
      <c r="G18" s="64">
        <v>-3200</v>
      </c>
      <c r="H18" s="64">
        <v>21750</v>
      </c>
      <c r="I18" s="64">
        <v>21750</v>
      </c>
      <c r="J18" s="64">
        <v>21750</v>
      </c>
      <c r="K18" s="64">
        <v>21750</v>
      </c>
      <c r="L18" s="64">
        <v>21750</v>
      </c>
      <c r="M18" s="64">
        <v>21750</v>
      </c>
      <c r="N18" s="64">
        <v>21750</v>
      </c>
      <c r="O18" s="64">
        <v>21750</v>
      </c>
      <c r="P18" s="64">
        <v>21750</v>
      </c>
      <c r="Q18" s="64">
        <v>21750</v>
      </c>
      <c r="R18" s="64">
        <v>21750</v>
      </c>
      <c r="S18" s="64">
        <v>21750</v>
      </c>
      <c r="T18" s="64">
        <v>5800</v>
      </c>
      <c r="U18" s="64">
        <v>5800</v>
      </c>
      <c r="V18" s="64">
        <v>5800</v>
      </c>
      <c r="W18" s="64">
        <v>5800</v>
      </c>
      <c r="X18" s="64">
        <v>5800</v>
      </c>
      <c r="Y18" s="64">
        <v>5800</v>
      </c>
      <c r="Z18" s="64">
        <v>5800</v>
      </c>
      <c r="AA18" s="64">
        <v>5800</v>
      </c>
      <c r="AB18" s="64">
        <v>5800</v>
      </c>
      <c r="AC18" s="64">
        <v>5800</v>
      </c>
      <c r="AD18" s="64">
        <v>6100</v>
      </c>
      <c r="AE18" s="64">
        <v>6100</v>
      </c>
      <c r="AF18" s="64">
        <v>6100</v>
      </c>
      <c r="AG18" s="64">
        <v>6100</v>
      </c>
      <c r="AH18" s="64">
        <v>6100</v>
      </c>
      <c r="AI18" s="64">
        <v>6100</v>
      </c>
      <c r="AJ18" s="64">
        <v>6100</v>
      </c>
      <c r="AK18" s="64">
        <v>6100</v>
      </c>
      <c r="AL18" s="64">
        <v>6100</v>
      </c>
      <c r="AM18" s="64">
        <v>6100</v>
      </c>
      <c r="AN18" s="64">
        <v>6100</v>
      </c>
      <c r="AO18" s="64">
        <v>6100</v>
      </c>
      <c r="AP18" s="64">
        <v>6100</v>
      </c>
      <c r="AQ18" s="64">
        <v>8100</v>
      </c>
      <c r="AR18" s="64">
        <v>8100</v>
      </c>
      <c r="AS18" s="64">
        <v>8100</v>
      </c>
      <c r="AT18" s="64">
        <v>8100</v>
      </c>
      <c r="AU18" s="64">
        <v>8100</v>
      </c>
      <c r="AV18" s="64">
        <v>8100</v>
      </c>
      <c r="AW18" s="64">
        <v>8100</v>
      </c>
      <c r="AX18" s="64">
        <v>8100</v>
      </c>
      <c r="AY18" s="64">
        <v>8100</v>
      </c>
      <c r="AZ18" s="64">
        <v>38700</v>
      </c>
      <c r="BA18" s="64">
        <f>(AZ17-BA17)*1000</f>
        <v>-29000</v>
      </c>
      <c r="BB18" s="64">
        <f>(BA17-BB17)*1000</f>
        <v>22000</v>
      </c>
      <c r="BC18" s="64">
        <f>(BB17-BC17)*1000</f>
        <v>14000</v>
      </c>
      <c r="BD18" s="64">
        <f>(BC17-BD17)*1000</f>
        <v>-16472.999999999956</v>
      </c>
    </row>
    <row r="19" spans="1:56" s="12" customFormat="1" x14ac:dyDescent="0.25">
      <c r="A19" s="12">
        <v>7</v>
      </c>
      <c r="B19" s="12" t="s">
        <v>129</v>
      </c>
      <c r="C19" s="12">
        <f t="shared" ref="C19:BC19" si="12">334.5</f>
        <v>334.5</v>
      </c>
      <c r="D19" s="12">
        <f t="shared" si="12"/>
        <v>334.5</v>
      </c>
      <c r="E19" s="12">
        <f t="shared" si="12"/>
        <v>334.5</v>
      </c>
      <c r="F19" s="12">
        <f t="shared" si="12"/>
        <v>334.5</v>
      </c>
      <c r="G19" s="12">
        <f t="shared" si="12"/>
        <v>334.5</v>
      </c>
      <c r="H19" s="12">
        <f t="shared" si="12"/>
        <v>334.5</v>
      </c>
      <c r="I19" s="12">
        <f t="shared" si="12"/>
        <v>334.5</v>
      </c>
      <c r="J19" s="12">
        <f t="shared" si="12"/>
        <v>334.5</v>
      </c>
      <c r="K19" s="12">
        <f t="shared" si="12"/>
        <v>334.5</v>
      </c>
      <c r="L19" s="12">
        <f t="shared" si="12"/>
        <v>334.5</v>
      </c>
      <c r="M19" s="12">
        <f t="shared" si="12"/>
        <v>334.5</v>
      </c>
      <c r="N19" s="12">
        <f t="shared" si="12"/>
        <v>334.5</v>
      </c>
      <c r="O19" s="12">
        <f t="shared" si="12"/>
        <v>334.5</v>
      </c>
      <c r="P19" s="12">
        <f t="shared" si="12"/>
        <v>334.5</v>
      </c>
      <c r="Q19" s="12">
        <f t="shared" si="12"/>
        <v>334.5</v>
      </c>
      <c r="R19" s="12">
        <f t="shared" si="12"/>
        <v>334.5</v>
      </c>
      <c r="S19" s="12">
        <f t="shared" si="12"/>
        <v>334.5</v>
      </c>
      <c r="T19" s="12">
        <f t="shared" si="12"/>
        <v>334.5</v>
      </c>
      <c r="U19" s="12">
        <f t="shared" si="12"/>
        <v>334.5</v>
      </c>
      <c r="V19" s="12">
        <f t="shared" si="12"/>
        <v>334.5</v>
      </c>
      <c r="W19" s="12">
        <f t="shared" si="12"/>
        <v>334.5</v>
      </c>
      <c r="X19" s="12">
        <f t="shared" si="12"/>
        <v>334.5</v>
      </c>
      <c r="Y19" s="12">
        <f t="shared" si="12"/>
        <v>334.5</v>
      </c>
      <c r="Z19" s="12">
        <f t="shared" si="12"/>
        <v>334.5</v>
      </c>
      <c r="AA19" s="12">
        <f t="shared" si="12"/>
        <v>334.5</v>
      </c>
      <c r="AB19" s="12">
        <f t="shared" si="12"/>
        <v>334.5</v>
      </c>
      <c r="AC19" s="12">
        <f t="shared" si="12"/>
        <v>334.5</v>
      </c>
      <c r="AD19" s="12">
        <f t="shared" si="12"/>
        <v>334.5</v>
      </c>
      <c r="AE19" s="12">
        <f t="shared" si="12"/>
        <v>334.5</v>
      </c>
      <c r="AF19" s="12">
        <f t="shared" si="12"/>
        <v>334.5</v>
      </c>
      <c r="AG19" s="12">
        <f t="shared" si="12"/>
        <v>334.5</v>
      </c>
      <c r="AH19" s="12">
        <f t="shared" si="12"/>
        <v>334.5</v>
      </c>
      <c r="AI19" s="12">
        <f t="shared" si="12"/>
        <v>334.5</v>
      </c>
      <c r="AJ19" s="12">
        <f t="shared" si="12"/>
        <v>334.5</v>
      </c>
      <c r="AK19" s="12">
        <f t="shared" si="12"/>
        <v>334.5</v>
      </c>
      <c r="AL19" s="12">
        <f t="shared" si="12"/>
        <v>334.5</v>
      </c>
      <c r="AM19" s="12">
        <f t="shared" si="12"/>
        <v>334.5</v>
      </c>
      <c r="AN19" s="12">
        <f t="shared" si="12"/>
        <v>334.5</v>
      </c>
      <c r="AO19" s="12">
        <f t="shared" si="12"/>
        <v>334.5</v>
      </c>
      <c r="AP19" s="12">
        <f t="shared" si="12"/>
        <v>334.5</v>
      </c>
      <c r="AQ19" s="12">
        <f t="shared" si="12"/>
        <v>334.5</v>
      </c>
      <c r="AR19" s="12">
        <f t="shared" si="12"/>
        <v>334.5</v>
      </c>
      <c r="AS19" s="12">
        <f t="shared" si="12"/>
        <v>334.5</v>
      </c>
      <c r="AT19" s="12">
        <f t="shared" si="12"/>
        <v>334.5</v>
      </c>
      <c r="AU19" s="12">
        <f t="shared" si="12"/>
        <v>334.5</v>
      </c>
      <c r="AV19" s="12">
        <f t="shared" si="12"/>
        <v>334.5</v>
      </c>
      <c r="AW19" s="12">
        <f t="shared" si="12"/>
        <v>334.5</v>
      </c>
      <c r="AX19" s="12">
        <f t="shared" si="12"/>
        <v>334.5</v>
      </c>
      <c r="AY19" s="12">
        <f t="shared" si="12"/>
        <v>334.5</v>
      </c>
      <c r="AZ19" s="12">
        <f t="shared" si="12"/>
        <v>334.5</v>
      </c>
      <c r="BA19" s="12">
        <f t="shared" si="12"/>
        <v>334.5</v>
      </c>
      <c r="BB19" s="12">
        <f t="shared" si="12"/>
        <v>334.5</v>
      </c>
      <c r="BC19" s="12">
        <f t="shared" si="12"/>
        <v>334.5</v>
      </c>
      <c r="BD19" s="12">
        <f>334.5</f>
        <v>334.5</v>
      </c>
    </row>
    <row r="20" spans="1:56" s="65" customFormat="1" x14ac:dyDescent="0.25">
      <c r="A20" s="65">
        <v>8</v>
      </c>
      <c r="B20" s="65" t="s">
        <v>130</v>
      </c>
      <c r="D20" s="65">
        <f t="shared" ref="D20:BB20" si="13">D18*D19</f>
        <v>-1070400</v>
      </c>
      <c r="E20" s="65">
        <f t="shared" si="13"/>
        <v>-1070400</v>
      </c>
      <c r="F20" s="65">
        <f t="shared" si="13"/>
        <v>-1070400</v>
      </c>
      <c r="G20" s="65">
        <f t="shared" si="13"/>
        <v>-1070400</v>
      </c>
      <c r="H20" s="65">
        <f t="shared" si="13"/>
        <v>7275375</v>
      </c>
      <c r="I20" s="65">
        <f t="shared" si="13"/>
        <v>7275375</v>
      </c>
      <c r="J20" s="65">
        <f t="shared" si="13"/>
        <v>7275375</v>
      </c>
      <c r="K20" s="65">
        <f t="shared" si="13"/>
        <v>7275375</v>
      </c>
      <c r="L20" s="65">
        <f t="shared" si="13"/>
        <v>7275375</v>
      </c>
      <c r="M20" s="65">
        <f t="shared" si="13"/>
        <v>7275375</v>
      </c>
      <c r="N20" s="65">
        <f t="shared" si="13"/>
        <v>7275375</v>
      </c>
      <c r="O20" s="65">
        <f t="shared" si="13"/>
        <v>7275375</v>
      </c>
      <c r="P20" s="65">
        <f t="shared" si="13"/>
        <v>7275375</v>
      </c>
      <c r="Q20" s="65">
        <f t="shared" si="13"/>
        <v>7275375</v>
      </c>
      <c r="R20" s="65">
        <f t="shared" si="13"/>
        <v>7275375</v>
      </c>
      <c r="S20" s="65">
        <f t="shared" si="13"/>
        <v>7275375</v>
      </c>
      <c r="T20" s="65">
        <f t="shared" si="13"/>
        <v>1940100</v>
      </c>
      <c r="U20" s="65">
        <f t="shared" si="13"/>
        <v>1940100</v>
      </c>
      <c r="V20" s="65">
        <f t="shared" si="13"/>
        <v>1940100</v>
      </c>
      <c r="W20" s="65">
        <f t="shared" si="13"/>
        <v>1940100</v>
      </c>
      <c r="X20" s="65">
        <f t="shared" si="13"/>
        <v>1940100</v>
      </c>
      <c r="Y20" s="65">
        <f t="shared" si="13"/>
        <v>1940100</v>
      </c>
      <c r="Z20" s="65">
        <f t="shared" si="13"/>
        <v>1940100</v>
      </c>
      <c r="AA20" s="65">
        <f t="shared" si="13"/>
        <v>1940100</v>
      </c>
      <c r="AB20" s="65">
        <f t="shared" si="13"/>
        <v>1940100</v>
      </c>
      <c r="AC20" s="65">
        <f t="shared" si="13"/>
        <v>1940100</v>
      </c>
      <c r="AD20" s="65">
        <f t="shared" si="13"/>
        <v>2040450</v>
      </c>
      <c r="AE20" s="65">
        <f t="shared" si="13"/>
        <v>2040450</v>
      </c>
      <c r="AF20" s="65">
        <f t="shared" si="13"/>
        <v>2040450</v>
      </c>
      <c r="AG20" s="65">
        <f t="shared" si="13"/>
        <v>2040450</v>
      </c>
      <c r="AH20" s="65">
        <f t="shared" si="13"/>
        <v>2040450</v>
      </c>
      <c r="AI20" s="65">
        <f t="shared" si="13"/>
        <v>2040450</v>
      </c>
      <c r="AJ20" s="65">
        <f t="shared" si="13"/>
        <v>2040450</v>
      </c>
      <c r="AK20" s="65">
        <f t="shared" si="13"/>
        <v>2040450</v>
      </c>
      <c r="AL20" s="65">
        <f t="shared" si="13"/>
        <v>2040450</v>
      </c>
      <c r="AM20" s="65">
        <f t="shared" si="13"/>
        <v>2040450</v>
      </c>
      <c r="AN20" s="65">
        <f t="shared" si="13"/>
        <v>2040450</v>
      </c>
      <c r="AO20" s="65">
        <f t="shared" si="13"/>
        <v>2040450</v>
      </c>
      <c r="AP20" s="65">
        <f t="shared" si="13"/>
        <v>2040450</v>
      </c>
      <c r="AQ20" s="65">
        <f t="shared" si="13"/>
        <v>2709450</v>
      </c>
      <c r="AR20" s="65">
        <f t="shared" si="13"/>
        <v>2709450</v>
      </c>
      <c r="AS20" s="65">
        <f t="shared" si="13"/>
        <v>2709450</v>
      </c>
      <c r="AT20" s="65">
        <f t="shared" si="13"/>
        <v>2709450</v>
      </c>
      <c r="AU20" s="65">
        <f t="shared" si="13"/>
        <v>2709450</v>
      </c>
      <c r="AV20" s="65">
        <f t="shared" si="13"/>
        <v>2709450</v>
      </c>
      <c r="AW20" s="65">
        <f t="shared" si="13"/>
        <v>2709450</v>
      </c>
      <c r="AX20" s="65">
        <f t="shared" si="13"/>
        <v>2709450</v>
      </c>
      <c r="AY20" s="65">
        <f t="shared" si="13"/>
        <v>2709450</v>
      </c>
      <c r="AZ20" s="65">
        <f t="shared" si="13"/>
        <v>12945150</v>
      </c>
      <c r="BA20" s="65">
        <f t="shared" si="13"/>
        <v>-9700500</v>
      </c>
      <c r="BB20" s="65">
        <f t="shared" si="13"/>
        <v>7359000</v>
      </c>
      <c r="BC20" s="65">
        <f>BC18*BC19</f>
        <v>4683000</v>
      </c>
      <c r="BD20" s="65">
        <f>BD18*BD19</f>
        <v>-5510218.4999999851</v>
      </c>
    </row>
    <row r="21" spans="1:56" s="28" customFormat="1" x14ac:dyDescent="0.25"/>
    <row r="23" spans="1:56" x14ac:dyDescent="0.25">
      <c r="A23" s="130" t="s">
        <v>11</v>
      </c>
      <c r="B23" s="130"/>
      <c r="C23" s="66" t="s">
        <v>131</v>
      </c>
      <c r="D23" s="66"/>
    </row>
    <row r="24" spans="1:56" x14ac:dyDescent="0.25">
      <c r="A24" s="7">
        <v>1</v>
      </c>
      <c r="B24" s="7" t="s">
        <v>132</v>
      </c>
      <c r="AZ24" s="14"/>
    </row>
    <row r="25" spans="1:56" x14ac:dyDescent="0.25">
      <c r="A25" s="7">
        <v>2</v>
      </c>
      <c r="B25" s="7" t="s">
        <v>133</v>
      </c>
      <c r="AY25" s="14"/>
    </row>
    <row r="26" spans="1:56" x14ac:dyDescent="0.25">
      <c r="A26" s="7">
        <v>3</v>
      </c>
      <c r="B26" s="7" t="s">
        <v>134</v>
      </c>
      <c r="AZ26" s="14"/>
    </row>
    <row r="27" spans="1:56" x14ac:dyDescent="0.25">
      <c r="A27" s="7">
        <v>4</v>
      </c>
      <c r="B27" s="7" t="s">
        <v>135</v>
      </c>
    </row>
    <row r="28" spans="1:56" x14ac:dyDescent="0.25">
      <c r="A28" s="7">
        <v>5</v>
      </c>
      <c r="B28" s="7" t="s">
        <v>136</v>
      </c>
    </row>
    <row r="29" spans="1:56" x14ac:dyDescent="0.25">
      <c r="A29" s="7">
        <v>6</v>
      </c>
      <c r="B29" s="7" t="s">
        <v>137</v>
      </c>
    </row>
    <row r="30" spans="1:56" x14ac:dyDescent="0.25">
      <c r="A30" s="7">
        <v>7</v>
      </c>
      <c r="B30" s="67" t="s">
        <v>138</v>
      </c>
    </row>
    <row r="31" spans="1:56" x14ac:dyDescent="0.25">
      <c r="A31" s="7">
        <v>8</v>
      </c>
      <c r="B31" s="7" t="s">
        <v>139</v>
      </c>
    </row>
    <row r="32" spans="1:56" x14ac:dyDescent="0.25">
      <c r="B32" s="68"/>
    </row>
    <row r="34" spans="1:11" ht="14" x14ac:dyDescent="0.3">
      <c r="A34" s="130" t="s">
        <v>16</v>
      </c>
      <c r="B34" s="131"/>
    </row>
    <row r="35" spans="1:11" x14ac:dyDescent="0.25">
      <c r="A35" s="145" t="s">
        <v>140</v>
      </c>
      <c r="B35" s="145"/>
      <c r="C35" s="145"/>
    </row>
    <row r="38" spans="1:11" ht="14" x14ac:dyDescent="0.3">
      <c r="A38" s="130" t="s">
        <v>18</v>
      </c>
      <c r="B38" s="131"/>
    </row>
    <row r="39" spans="1:11" ht="409.5" customHeight="1" x14ac:dyDescent="0.25">
      <c r="A39" s="140" t="s">
        <v>141</v>
      </c>
      <c r="B39" s="137"/>
      <c r="C39" s="137"/>
      <c r="D39" s="137"/>
      <c r="E39" s="137"/>
      <c r="F39" s="137"/>
      <c r="G39" s="15"/>
      <c r="H39" s="15"/>
      <c r="I39" s="15"/>
      <c r="J39" s="15"/>
      <c r="K39" s="15"/>
    </row>
    <row r="42" spans="1:11" x14ac:dyDescent="0.25">
      <c r="A42" s="20" t="s">
        <v>21</v>
      </c>
    </row>
    <row r="43" spans="1:11" ht="78" customHeight="1" x14ac:dyDescent="0.25">
      <c r="A43" s="129"/>
      <c r="B43" s="132"/>
      <c r="C43" s="132"/>
      <c r="D43" s="132"/>
      <c r="E43" s="132"/>
      <c r="F43" s="132"/>
      <c r="G43" s="132"/>
      <c r="H43" s="132"/>
      <c r="I43" s="132"/>
      <c r="J43" s="132"/>
      <c r="K43" s="132"/>
    </row>
    <row r="45" spans="1:11" x14ac:dyDescent="0.25">
      <c r="A45" s="20" t="s">
        <v>22</v>
      </c>
    </row>
    <row r="46" spans="1:11" ht="110" customHeight="1" x14ac:dyDescent="0.25">
      <c r="A46" s="129"/>
      <c r="B46" s="129"/>
      <c r="C46" s="129"/>
      <c r="D46" s="129"/>
      <c r="E46" s="129"/>
      <c r="F46" s="129"/>
      <c r="G46" s="15"/>
      <c r="H46" s="15"/>
      <c r="I46" s="15"/>
      <c r="J46" s="15"/>
      <c r="K46" s="15"/>
    </row>
    <row r="47" spans="1:11" customFormat="1" x14ac:dyDescent="0.3"/>
    <row r="48" spans="1:11" customFormat="1" x14ac:dyDescent="0.3">
      <c r="C48">
        <f>736/2.2</f>
        <v>334.5454545454545</v>
      </c>
    </row>
    <row r="49" customFormat="1" x14ac:dyDescent="0.3"/>
    <row r="50" customFormat="1" ht="107" customHeight="1" x14ac:dyDescent="0.3"/>
    <row r="51" customFormat="1" x14ac:dyDescent="0.3"/>
    <row r="52" customFormat="1" x14ac:dyDescent="0.3"/>
    <row r="53" customFormat="1" ht="15.75" customHeight="1" x14ac:dyDescent="0.3"/>
  </sheetData>
  <mergeCells count="9">
    <mergeCell ref="A39:F39"/>
    <mergeCell ref="A43:K43"/>
    <mergeCell ref="A46:F46"/>
    <mergeCell ref="A8:B8"/>
    <mergeCell ref="A14:B14"/>
    <mergeCell ref="A23:B23"/>
    <mergeCell ref="A34:B34"/>
    <mergeCell ref="A35:C35"/>
    <mergeCell ref="A38:B38"/>
  </mergeCells>
  <pageMargins left="0.75000000000000011" right="0.75000000000000011" top="1" bottom="1" header="0.5" footer="0.5"/>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dimension ref="A1:BI70"/>
  <sheetViews>
    <sheetView zoomScale="80" zoomScaleNormal="80" workbookViewId="0">
      <pane xSplit="2" ySplit="2" topLeftCell="G76" activePane="bottomRight" state="frozen"/>
      <selection activeCell="AV27" sqref="AV27"/>
      <selection pane="topRight" activeCell="AV27" sqref="AV27"/>
      <selection pane="bottomLeft" activeCell="AV27" sqref="AV27"/>
      <selection pane="bottomRight" activeCell="K90" sqref="K90"/>
    </sheetView>
  </sheetViews>
  <sheetFormatPr defaultColWidth="11" defaultRowHeight="13.5" x14ac:dyDescent="0.25"/>
  <cols>
    <col min="1" max="1" width="10.53515625" style="7" customWidth="1"/>
    <col min="2" max="2" width="50.53515625" style="7" customWidth="1"/>
    <col min="3" max="55" width="20.53515625" style="7" customWidth="1"/>
    <col min="56" max="60" width="15.3828125" style="7" customWidth="1"/>
    <col min="61" max="61" width="11.15234375" style="7" customWidth="1"/>
    <col min="62" max="16384" width="11" style="7"/>
  </cols>
  <sheetData>
    <row r="1" spans="1:61" s="2" customFormat="1" ht="18" thickBot="1" x14ac:dyDescent="0.4">
      <c r="A1" s="69" t="s">
        <v>142</v>
      </c>
      <c r="B1" s="69"/>
      <c r="C1" s="69"/>
      <c r="D1" s="69"/>
      <c r="E1" s="69"/>
      <c r="F1" s="69"/>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row>
    <row r="2" spans="1:61" s="25" customFormat="1" ht="14" thickTop="1" x14ac:dyDescent="0.25">
      <c r="B2" s="71" t="s">
        <v>51</v>
      </c>
      <c r="C2" s="25">
        <v>1960</v>
      </c>
      <c r="D2" s="25">
        <v>1961</v>
      </c>
      <c r="E2" s="25">
        <v>1962</v>
      </c>
      <c r="F2" s="25">
        <v>1963</v>
      </c>
      <c r="G2" s="25">
        <v>1964</v>
      </c>
      <c r="H2" s="25">
        <v>1965</v>
      </c>
      <c r="I2" s="25">
        <v>1966</v>
      </c>
      <c r="J2" s="25">
        <v>1967</v>
      </c>
      <c r="K2" s="25">
        <v>1968</v>
      </c>
      <c r="L2" s="25">
        <v>1969</v>
      </c>
      <c r="M2" s="25">
        <v>1970</v>
      </c>
      <c r="N2" s="25">
        <v>1971</v>
      </c>
      <c r="O2" s="25">
        <v>1972</v>
      </c>
      <c r="P2" s="25">
        <v>1973</v>
      </c>
      <c r="Q2" s="25">
        <v>1974</v>
      </c>
      <c r="R2" s="25">
        <v>1975</v>
      </c>
      <c r="S2" s="25">
        <v>1976</v>
      </c>
      <c r="T2" s="25">
        <v>1977</v>
      </c>
      <c r="U2" s="25">
        <v>1978</v>
      </c>
      <c r="V2" s="25">
        <v>1979</v>
      </c>
      <c r="W2" s="25">
        <v>1980</v>
      </c>
      <c r="X2" s="25">
        <v>1981</v>
      </c>
      <c r="Y2" s="25">
        <v>1982</v>
      </c>
      <c r="Z2" s="25">
        <v>1983</v>
      </c>
      <c r="AA2" s="25">
        <v>1984</v>
      </c>
      <c r="AB2" s="25">
        <v>1985</v>
      </c>
      <c r="AC2" s="25">
        <v>1986</v>
      </c>
      <c r="AD2" s="25">
        <v>1987</v>
      </c>
      <c r="AE2" s="25">
        <v>1988</v>
      </c>
      <c r="AF2" s="25">
        <v>1989</v>
      </c>
      <c r="AG2" s="25">
        <v>1990</v>
      </c>
      <c r="AH2" s="25">
        <v>1991</v>
      </c>
      <c r="AI2" s="25">
        <v>1992</v>
      </c>
      <c r="AJ2" s="25">
        <v>1993</v>
      </c>
      <c r="AK2" s="25">
        <v>1994</v>
      </c>
      <c r="AL2" s="25">
        <v>1995</v>
      </c>
      <c r="AM2" s="25">
        <v>1996</v>
      </c>
      <c r="AN2" s="25">
        <v>1997</v>
      </c>
      <c r="AO2" s="25">
        <v>1998</v>
      </c>
      <c r="AP2" s="25">
        <v>1999</v>
      </c>
      <c r="AQ2" s="25">
        <v>2000</v>
      </c>
      <c r="AR2" s="25">
        <v>2001</v>
      </c>
      <c r="AS2" s="25">
        <v>2002</v>
      </c>
      <c r="AT2" s="25">
        <v>2003</v>
      </c>
      <c r="AU2" s="25">
        <v>2004</v>
      </c>
      <c r="AV2" s="25">
        <v>2005</v>
      </c>
      <c r="AW2" s="25">
        <v>2006</v>
      </c>
      <c r="AX2" s="25">
        <v>2007</v>
      </c>
      <c r="AY2" s="25">
        <v>2008</v>
      </c>
      <c r="AZ2" s="25">
        <v>2009</v>
      </c>
      <c r="BA2" s="25">
        <v>2010</v>
      </c>
      <c r="BB2" s="25">
        <v>2011</v>
      </c>
      <c r="BC2" s="25">
        <v>2012</v>
      </c>
      <c r="BD2" s="25">
        <v>2013</v>
      </c>
    </row>
    <row r="3" spans="1:61" s="21" customFormat="1" x14ac:dyDescent="0.25">
      <c r="A3" s="9">
        <v>1</v>
      </c>
      <c r="B3" s="21" t="s">
        <v>143</v>
      </c>
      <c r="C3" s="21">
        <f t="shared" ref="C3:BA3" si="0">C21</f>
        <v>0</v>
      </c>
      <c r="D3" s="21">
        <f t="shared" si="0"/>
        <v>0</v>
      </c>
      <c r="E3" s="21">
        <f t="shared" si="0"/>
        <v>0</v>
      </c>
      <c r="F3" s="21">
        <f t="shared" si="0"/>
        <v>0</v>
      </c>
      <c r="G3" s="21">
        <f t="shared" si="0"/>
        <v>0</v>
      </c>
      <c r="H3" s="21">
        <f t="shared" si="0"/>
        <v>5.1543037184453508E-2</v>
      </c>
      <c r="I3" s="21">
        <f t="shared" si="0"/>
        <v>0.10747805561649951</v>
      </c>
      <c r="J3" s="21">
        <f t="shared" si="0"/>
        <v>0.16301543017900569</v>
      </c>
      <c r="K3" s="21">
        <f t="shared" si="0"/>
        <v>0.22824427411781711</v>
      </c>
      <c r="L3" s="21">
        <f t="shared" si="0"/>
        <v>0.2933452744967302</v>
      </c>
      <c r="M3" s="21">
        <f t="shared" si="0"/>
        <v>0.35653126411737163</v>
      </c>
      <c r="N3" s="21">
        <f t="shared" si="0"/>
        <v>0.42018948723664518</v>
      </c>
      <c r="O3" s="21">
        <f t="shared" si="0"/>
        <v>0.48581393898265085</v>
      </c>
      <c r="P3" s="21">
        <f t="shared" si="0"/>
        <v>0.58683288725858818</v>
      </c>
      <c r="Q3" s="21">
        <f t="shared" si="0"/>
        <v>0.60969278606133226</v>
      </c>
      <c r="R3" s="21">
        <f t="shared" si="0"/>
        <v>0.59344250629298767</v>
      </c>
      <c r="S3" s="21">
        <f t="shared" si="0"/>
        <v>0.70401630223634126</v>
      </c>
      <c r="T3" s="21">
        <f t="shared" si="0"/>
        <v>0.71346867991265128</v>
      </c>
      <c r="U3" s="21">
        <f t="shared" si="0"/>
        <v>0.80095478254147978</v>
      </c>
      <c r="V3" s="21">
        <f t="shared" si="0"/>
        <v>0.8968452808732934</v>
      </c>
      <c r="W3" s="21">
        <f t="shared" si="0"/>
        <v>0.87037971172331152</v>
      </c>
      <c r="X3" s="21">
        <f t="shared" si="0"/>
        <v>0.86784930211070943</v>
      </c>
      <c r="Y3" s="21">
        <f t="shared" si="0"/>
        <v>0.90032698411052436</v>
      </c>
      <c r="Z3" s="21">
        <f t="shared" si="0"/>
        <v>0.97141137547396306</v>
      </c>
      <c r="AA3" s="21">
        <f t="shared" si="0"/>
        <v>1.1296488608661923</v>
      </c>
      <c r="AB3" s="21">
        <f t="shared" si="0"/>
        <v>1.1216947438641052</v>
      </c>
      <c r="AC3" s="21">
        <f t="shared" si="0"/>
        <v>1.2023101550565616</v>
      </c>
      <c r="AD3" s="21">
        <f t="shared" si="0"/>
        <v>1.326264751951638</v>
      </c>
      <c r="AE3" s="21">
        <f t="shared" si="0"/>
        <v>1.4343945420349746</v>
      </c>
      <c r="AF3" s="21">
        <f t="shared" si="0"/>
        <v>1.5639379310228116</v>
      </c>
      <c r="AG3" s="21">
        <f t="shared" si="0"/>
        <v>1.4791294162317992</v>
      </c>
      <c r="AH3" s="21">
        <f t="shared" si="0"/>
        <v>1.4972560520894558</v>
      </c>
      <c r="AI3" s="21">
        <f t="shared" si="0"/>
        <v>1.5098057205283748</v>
      </c>
      <c r="AJ3" s="21">
        <f t="shared" si="0"/>
        <v>1.6373827293937708</v>
      </c>
      <c r="AK3" s="21">
        <f t="shared" si="0"/>
        <v>1.7189725681349606</v>
      </c>
      <c r="AL3" s="21">
        <f t="shared" si="0"/>
        <v>1.7775667417365484</v>
      </c>
      <c r="AM3" s="21">
        <f t="shared" si="0"/>
        <v>1.8865758981211285</v>
      </c>
      <c r="AN3" s="21">
        <f t="shared" si="0"/>
        <v>1.966284976729658</v>
      </c>
      <c r="AO3" s="21">
        <f t="shared" si="0"/>
        <v>2.0846515729824207</v>
      </c>
      <c r="AP3" s="21">
        <f t="shared" si="0"/>
        <v>2.2110982147203702</v>
      </c>
      <c r="AQ3" s="21">
        <f t="shared" si="0"/>
        <v>2.2750924094959744</v>
      </c>
      <c r="AR3" s="21">
        <f t="shared" si="0"/>
        <v>2.305905700599812</v>
      </c>
      <c r="AS3" s="21">
        <f t="shared" si="0"/>
        <v>2.3778921518409599</v>
      </c>
      <c r="AT3" s="21">
        <f t="shared" si="0"/>
        <v>2.516776476675636</v>
      </c>
      <c r="AU3" s="21">
        <f t="shared" si="0"/>
        <v>2.6189574691352266</v>
      </c>
      <c r="AV3" s="21">
        <f t="shared" si="0"/>
        <v>2.7444667425687257</v>
      </c>
      <c r="AW3" s="21">
        <f t="shared" si="0"/>
        <v>2.6249825743968827</v>
      </c>
      <c r="AX3" s="21">
        <f t="shared" si="0"/>
        <v>2.7296611994503053</v>
      </c>
      <c r="AY3" s="21">
        <f t="shared" si="0"/>
        <v>2.6688660463979419</v>
      </c>
      <c r="AZ3" s="21">
        <f t="shared" si="0"/>
        <v>2.629648689132396</v>
      </c>
      <c r="BA3" s="72">
        <f t="shared" si="0"/>
        <v>2.654092158483655</v>
      </c>
      <c r="BB3" s="72">
        <f>BB21</f>
        <v>2.5430283122462578</v>
      </c>
      <c r="BC3" s="72">
        <f>BC21</f>
        <v>2.5971352976132001</v>
      </c>
      <c r="BD3" s="72">
        <f>BD21</f>
        <v>2.4831889442303523</v>
      </c>
    </row>
    <row r="4" spans="1:61" s="73" customFormat="1" x14ac:dyDescent="0.25">
      <c r="A4" s="9">
        <v>2</v>
      </c>
      <c r="B4" s="73" t="s">
        <v>144</v>
      </c>
      <c r="C4" s="73">
        <f t="shared" ref="C4:BC8" si="1">C26</f>
        <v>22095253.808268934</v>
      </c>
      <c r="D4" s="73">
        <f t="shared" si="1"/>
        <v>22451044.15085474</v>
      </c>
      <c r="E4" s="73">
        <f t="shared" si="1"/>
        <v>24605882.770657245</v>
      </c>
      <c r="F4" s="73">
        <f t="shared" si="1"/>
        <v>26850612.072423186</v>
      </c>
      <c r="G4" s="73">
        <f t="shared" si="1"/>
        <v>29318078.177773323</v>
      </c>
      <c r="H4" s="73">
        <f t="shared" si="1"/>
        <v>31928138.709572904</v>
      </c>
      <c r="I4" s="73">
        <f t="shared" si="1"/>
        <v>33064573.709001049</v>
      </c>
      <c r="J4" s="73">
        <f t="shared" si="1"/>
        <v>34202567.217158072</v>
      </c>
      <c r="K4" s="73">
        <f t="shared" si="1"/>
        <v>35380654.710709222</v>
      </c>
      <c r="L4" s="73">
        <f t="shared" si="1"/>
        <v>34659165.431983538</v>
      </c>
      <c r="M4" s="73">
        <f t="shared" si="1"/>
        <v>30357914.502630398</v>
      </c>
      <c r="N4" s="73">
        <f t="shared" si="1"/>
        <v>26716546.246453322</v>
      </c>
      <c r="O4" s="73">
        <f t="shared" si="1"/>
        <v>22081113.016397774</v>
      </c>
      <c r="P4" s="73">
        <f t="shared" si="1"/>
        <v>25039944.698474858</v>
      </c>
      <c r="Q4" s="73">
        <f t="shared" si="1"/>
        <v>21212108.548484169</v>
      </c>
      <c r="R4" s="73">
        <f t="shared" si="1"/>
        <v>19227552.611862689</v>
      </c>
      <c r="S4" s="73">
        <f t="shared" si="1"/>
        <v>23923992.283164501</v>
      </c>
      <c r="T4" s="73">
        <f t="shared" si="1"/>
        <v>18502687.877525579</v>
      </c>
      <c r="U4" s="73">
        <f t="shared" si="1"/>
        <v>20452405.04734914</v>
      </c>
      <c r="V4" s="73">
        <f t="shared" si="1"/>
        <v>23474552.1597936</v>
      </c>
      <c r="W4" s="73">
        <f t="shared" si="1"/>
        <v>22986994.588376399</v>
      </c>
      <c r="X4" s="73">
        <f t="shared" si="1"/>
        <v>20515597.942822184</v>
      </c>
      <c r="Y4" s="73">
        <f t="shared" si="1"/>
        <v>21187286.680647168</v>
      </c>
      <c r="Z4" s="73">
        <f t="shared" si="1"/>
        <v>22683700.188657649</v>
      </c>
      <c r="AA4" s="73">
        <f t="shared" si="1"/>
        <v>26346403.639635798</v>
      </c>
      <c r="AB4" s="73">
        <f t="shared" si="1"/>
        <v>24986246.84518842</v>
      </c>
      <c r="AC4" s="73">
        <f t="shared" si="1"/>
        <v>26822734.673025705</v>
      </c>
      <c r="AD4" s="73">
        <f t="shared" si="1"/>
        <v>28174298.771397907</v>
      </c>
      <c r="AE4" s="73">
        <f t="shared" si="1"/>
        <v>29375437.716746915</v>
      </c>
      <c r="AF4" s="73">
        <f t="shared" si="1"/>
        <v>28845660.883435387</v>
      </c>
      <c r="AG4" s="73">
        <f t="shared" si="1"/>
        <v>27938445.577138308</v>
      </c>
      <c r="AH4" s="73">
        <f t="shared" si="1"/>
        <v>26795377.334040668</v>
      </c>
      <c r="AI4" s="73">
        <f t="shared" si="1"/>
        <v>24136054.422877982</v>
      </c>
      <c r="AJ4" s="73">
        <f t="shared" si="1"/>
        <v>25524566.753248133</v>
      </c>
      <c r="AK4" s="73">
        <f t="shared" si="1"/>
        <v>26220094.7860296</v>
      </c>
      <c r="AL4" s="73">
        <f t="shared" si="1"/>
        <v>28238754.731611561</v>
      </c>
      <c r="AM4" s="73">
        <f t="shared" si="1"/>
        <v>28522979.762254003</v>
      </c>
      <c r="AN4" s="73">
        <f t="shared" si="1"/>
        <v>28250859.473114949</v>
      </c>
      <c r="AO4" s="73">
        <f t="shared" si="1"/>
        <v>29636630.246136416</v>
      </c>
      <c r="AP4" s="73">
        <f t="shared" si="1"/>
        <v>29762506.682674695</v>
      </c>
      <c r="AQ4" s="73">
        <f t="shared" si="1"/>
        <v>30442743.866779421</v>
      </c>
      <c r="AR4" s="73">
        <f t="shared" si="1"/>
        <v>31095092.459820695</v>
      </c>
      <c r="AS4" s="73">
        <f t="shared" si="1"/>
        <v>31776076.041056477</v>
      </c>
      <c r="AT4" s="73">
        <f t="shared" si="1"/>
        <v>32142442.226155616</v>
      </c>
      <c r="AU4" s="73">
        <f t="shared" si="1"/>
        <v>31913117.109403417</v>
      </c>
      <c r="AV4" s="73">
        <f t="shared" si="1"/>
        <v>32114464.130045779</v>
      </c>
      <c r="AW4" s="73">
        <f t="shared" si="1"/>
        <v>31661362.360971894</v>
      </c>
      <c r="AX4" s="73">
        <f t="shared" si="1"/>
        <v>31985285.962849449</v>
      </c>
      <c r="AY4" s="73">
        <f t="shared" si="1"/>
        <v>30163080.674657699</v>
      </c>
      <c r="AZ4" s="73">
        <f t="shared" si="1"/>
        <v>26024816.869512998</v>
      </c>
      <c r="BA4" s="74">
        <f t="shared" si="1"/>
        <v>25947481.638389848</v>
      </c>
      <c r="BB4" s="74">
        <f t="shared" si="1"/>
        <v>23521417.899864499</v>
      </c>
      <c r="BC4" s="74">
        <f t="shared" si="1"/>
        <v>23521417.899864499</v>
      </c>
      <c r="BD4" s="74">
        <f>BD26</f>
        <v>18763301.977419998</v>
      </c>
    </row>
    <row r="5" spans="1:61" s="73" customFormat="1" x14ac:dyDescent="0.25">
      <c r="A5" s="9">
        <v>3</v>
      </c>
      <c r="B5" s="73" t="s">
        <v>145</v>
      </c>
      <c r="C5" s="73">
        <f t="shared" si="1"/>
        <v>3990637.0278565893</v>
      </c>
      <c r="D5" s="73">
        <f t="shared" si="1"/>
        <v>4165045.9423752814</v>
      </c>
      <c r="E5" s="73">
        <f t="shared" si="1"/>
        <v>4615523.8090893449</v>
      </c>
      <c r="F5" s="73">
        <f t="shared" si="1"/>
        <v>4844569.6723566586</v>
      </c>
      <c r="G5" s="73">
        <f t="shared" si="1"/>
        <v>5130407.0490372758</v>
      </c>
      <c r="H5" s="73">
        <f t="shared" si="1"/>
        <v>5496396.2604349926</v>
      </c>
      <c r="I5" s="73">
        <f t="shared" si="1"/>
        <v>5596916.0447299397</v>
      </c>
      <c r="J5" s="73">
        <f t="shared" si="1"/>
        <v>6601768.9470113525</v>
      </c>
      <c r="K5" s="73">
        <f t="shared" si="1"/>
        <v>7059809.0059277331</v>
      </c>
      <c r="L5" s="73">
        <f t="shared" si="1"/>
        <v>8040543.4843695993</v>
      </c>
      <c r="M5" s="73">
        <f t="shared" si="1"/>
        <v>8686318.0467326175</v>
      </c>
      <c r="N5" s="73">
        <f t="shared" si="1"/>
        <v>8964226.1909782775</v>
      </c>
      <c r="O5" s="73">
        <f t="shared" si="1"/>
        <v>9813005.1055440754</v>
      </c>
      <c r="P5" s="73">
        <f t="shared" si="1"/>
        <v>9668561.4968991838</v>
      </c>
      <c r="Q5" s="73">
        <f t="shared" si="1"/>
        <v>9554910.7708670385</v>
      </c>
      <c r="R5" s="73">
        <f t="shared" si="1"/>
        <v>7721251.5706316838</v>
      </c>
      <c r="S5" s="73">
        <f t="shared" si="1"/>
        <v>8145195.6003886778</v>
      </c>
      <c r="T5" s="73">
        <f t="shared" si="1"/>
        <v>7357325.4932846306</v>
      </c>
      <c r="U5" s="73">
        <f t="shared" si="1"/>
        <v>7600862.4619608177</v>
      </c>
      <c r="V5" s="73">
        <f t="shared" si="1"/>
        <v>9777524.5792967267</v>
      </c>
      <c r="W5" s="73">
        <f t="shared" si="1"/>
        <v>8896713.0515752267</v>
      </c>
      <c r="X5" s="73">
        <f t="shared" si="1"/>
        <v>9674766.6078621317</v>
      </c>
      <c r="Y5" s="73">
        <f t="shared" si="1"/>
        <v>8754340.8341765013</v>
      </c>
      <c r="Z5" s="73">
        <f t="shared" si="1"/>
        <v>8093171.1771321399</v>
      </c>
      <c r="AA5" s="73">
        <f t="shared" si="1"/>
        <v>8879033.5566749554</v>
      </c>
      <c r="AB5" s="73">
        <f t="shared" si="1"/>
        <v>8489408.349037528</v>
      </c>
      <c r="AC5" s="73">
        <f t="shared" si="1"/>
        <v>8601868.6068353374</v>
      </c>
      <c r="AD5" s="73">
        <f t="shared" si="1"/>
        <v>9486425.2685848475</v>
      </c>
      <c r="AE5" s="73">
        <f t="shared" si="1"/>
        <v>9712323.6576625947</v>
      </c>
      <c r="AF5" s="73">
        <f t="shared" si="1"/>
        <v>10865268.855634147</v>
      </c>
      <c r="AG5" s="73">
        <f t="shared" si="1"/>
        <v>9829736.825174652</v>
      </c>
      <c r="AH5" s="73">
        <f t="shared" si="1"/>
        <v>9962778.5765806288</v>
      </c>
      <c r="AI5" s="73">
        <f t="shared" si="1"/>
        <v>10346932.279081326</v>
      </c>
      <c r="AJ5" s="73">
        <f t="shared" si="1"/>
        <v>10178195.974593963</v>
      </c>
      <c r="AK5" s="73">
        <f t="shared" si="1"/>
        <v>10451613.135257276</v>
      </c>
      <c r="AL5" s="73">
        <f t="shared" si="1"/>
        <v>10842756.60001809</v>
      </c>
      <c r="AM5" s="73">
        <f t="shared" si="1"/>
        <v>10980635.312586633</v>
      </c>
      <c r="AN5" s="73">
        <f t="shared" si="1"/>
        <v>11930860.974991951</v>
      </c>
      <c r="AO5" s="73">
        <f t="shared" si="1"/>
        <v>10643442.429309132</v>
      </c>
      <c r="AP5" s="73">
        <f t="shared" si="1"/>
        <v>11051665.076160721</v>
      </c>
      <c r="AQ5" s="73">
        <f t="shared" si="1"/>
        <v>11940013.712607916</v>
      </c>
      <c r="AR5" s="73">
        <f t="shared" si="1"/>
        <v>10068444.614700407</v>
      </c>
      <c r="AS5" s="73">
        <f t="shared" si="1"/>
        <v>11078808.813418493</v>
      </c>
      <c r="AT5" s="73">
        <f t="shared" si="1"/>
        <v>11131735.570153913</v>
      </c>
      <c r="AU5" s="73">
        <f t="shared" si="1"/>
        <v>10991233.495953005</v>
      </c>
      <c r="AV5" s="73">
        <f t="shared" si="1"/>
        <v>11551903.283403272</v>
      </c>
      <c r="AW5" s="73">
        <f t="shared" si="1"/>
        <v>10299528.274892908</v>
      </c>
      <c r="AX5" s="73">
        <f t="shared" si="1"/>
        <v>11359386.296689199</v>
      </c>
      <c r="AY5" s="73">
        <f t="shared" si="1"/>
        <v>11045754.3883764</v>
      </c>
      <c r="AZ5" s="73">
        <f t="shared" si="1"/>
        <v>11091966.379031999</v>
      </c>
      <c r="BA5" s="74">
        <f t="shared" si="1"/>
        <v>11852042.0415936</v>
      </c>
      <c r="BB5" s="74">
        <f t="shared" si="1"/>
        <v>10841039.079948001</v>
      </c>
      <c r="BC5" s="74">
        <f t="shared" si="1"/>
        <v>10841039.079948001</v>
      </c>
      <c r="BD5" s="74">
        <f>BD27</f>
        <v>11795215.98948</v>
      </c>
    </row>
    <row r="6" spans="1:61" s="73" customFormat="1" x14ac:dyDescent="0.25">
      <c r="A6" s="9">
        <v>4</v>
      </c>
      <c r="B6" s="73" t="s">
        <v>146</v>
      </c>
      <c r="C6" s="73">
        <f t="shared" si="1"/>
        <v>25640161.4679056</v>
      </c>
      <c r="D6" s="73">
        <f t="shared" si="1"/>
        <v>25277142.422347199</v>
      </c>
      <c r="E6" s="73">
        <f t="shared" si="1"/>
        <v>26838008.1986016</v>
      </c>
      <c r="F6" s="73">
        <f t="shared" si="1"/>
        <v>27152765.015992001</v>
      </c>
      <c r="G6" s="73">
        <f t="shared" si="1"/>
        <v>28429645.6812368</v>
      </c>
      <c r="H6" s="73">
        <f t="shared" si="1"/>
        <v>29783673.336771198</v>
      </c>
      <c r="I6" s="73">
        <f t="shared" si="1"/>
        <v>31402308.6372688</v>
      </c>
      <c r="J6" s="73">
        <f t="shared" si="1"/>
        <v>29970625.967990398</v>
      </c>
      <c r="K6" s="73">
        <f t="shared" si="1"/>
        <v>31870778.837004799</v>
      </c>
      <c r="L6" s="73">
        <f t="shared" si="1"/>
        <v>33757215.072750397</v>
      </c>
      <c r="M6" s="73">
        <f t="shared" si="1"/>
        <v>38389372.929969601</v>
      </c>
      <c r="N6" s="73">
        <f t="shared" si="1"/>
        <v>42667365.8646928</v>
      </c>
      <c r="O6" s="73">
        <f t="shared" si="1"/>
        <v>47243495.9923696</v>
      </c>
      <c r="P6" s="73">
        <f t="shared" si="1"/>
        <v>50464437.2680448</v>
      </c>
      <c r="Q6" s="73">
        <f t="shared" si="1"/>
        <v>48752761.100612797</v>
      </c>
      <c r="R6" s="73">
        <f t="shared" si="1"/>
        <v>43090839.701324798</v>
      </c>
      <c r="S6" s="73">
        <f t="shared" si="1"/>
        <v>44083590.106001601</v>
      </c>
      <c r="T6" s="73">
        <f t="shared" si="1"/>
        <v>44838440.384460799</v>
      </c>
      <c r="U6" s="73">
        <f t="shared" si="1"/>
        <v>45544883.2851936</v>
      </c>
      <c r="V6" s="73">
        <f t="shared" si="1"/>
        <v>43617514.873979196</v>
      </c>
      <c r="W6" s="73">
        <f t="shared" si="1"/>
        <v>38687147.2490272</v>
      </c>
      <c r="X6" s="73">
        <f t="shared" si="1"/>
        <v>36049997.497236796</v>
      </c>
      <c r="Y6" s="73">
        <f t="shared" si="1"/>
        <v>34269593.013902396</v>
      </c>
      <c r="Z6" s="73">
        <f t="shared" si="1"/>
        <v>35295727.8170112</v>
      </c>
      <c r="AA6" s="73">
        <f t="shared" si="1"/>
        <v>37593880.775158398</v>
      </c>
      <c r="AB6" s="73">
        <f t="shared" si="1"/>
        <v>35175761.706993602</v>
      </c>
      <c r="AC6" s="73">
        <f t="shared" si="1"/>
        <v>35270616.943407997</v>
      </c>
      <c r="AD6" s="73">
        <f t="shared" si="1"/>
        <v>37470576.2252976</v>
      </c>
      <c r="AE6" s="73">
        <f t="shared" si="1"/>
        <v>38743102.403790399</v>
      </c>
      <c r="AF6" s="73">
        <f t="shared" si="1"/>
        <v>41506967.720063999</v>
      </c>
      <c r="AG6" s="73">
        <f t="shared" si="1"/>
        <v>36713984.1521376</v>
      </c>
      <c r="AH6" s="73">
        <f t="shared" si="1"/>
        <v>35753311.799867198</v>
      </c>
      <c r="AI6" s="73">
        <f t="shared" si="1"/>
        <v>35886776.818815999</v>
      </c>
      <c r="AJ6" s="73">
        <f t="shared" si="1"/>
        <v>37708766.650632001</v>
      </c>
      <c r="AK6" s="73">
        <f t="shared" si="1"/>
        <v>37862697.757315196</v>
      </c>
      <c r="AL6" s="73">
        <f t="shared" si="1"/>
        <v>35091502.388342395</v>
      </c>
      <c r="AM6" s="73">
        <f t="shared" si="1"/>
        <v>36524491.403646402</v>
      </c>
      <c r="AN6" s="73">
        <f t="shared" si="1"/>
        <v>37044779.995731197</v>
      </c>
      <c r="AO6" s="73">
        <f t="shared" si="1"/>
        <v>39459705.773611195</v>
      </c>
      <c r="AP6" s="73">
        <f t="shared" si="1"/>
        <v>41315442.877755202</v>
      </c>
      <c r="AQ6" s="73">
        <f t="shared" si="1"/>
        <v>39768511.459107198</v>
      </c>
      <c r="AR6" s="73">
        <f t="shared" si="1"/>
        <v>41164051.888343997</v>
      </c>
      <c r="AS6" s="73">
        <f t="shared" si="1"/>
        <v>39803927.951356798</v>
      </c>
      <c r="AT6" s="73">
        <f t="shared" si="1"/>
        <v>41480332.776097596</v>
      </c>
      <c r="AU6" s="73">
        <f t="shared" si="1"/>
        <v>43038150.411625601</v>
      </c>
      <c r="AV6" s="73">
        <f t="shared" si="1"/>
        <v>44409305.715051197</v>
      </c>
      <c r="AW6" s="73">
        <f t="shared" si="1"/>
        <v>40291122.444126397</v>
      </c>
      <c r="AX6" s="73">
        <f t="shared" si="1"/>
        <v>40257375.171798401</v>
      </c>
      <c r="AY6" s="73">
        <f t="shared" si="1"/>
        <v>38521386.453334399</v>
      </c>
      <c r="AZ6" s="73">
        <f t="shared" si="1"/>
        <v>39201702.433555201</v>
      </c>
      <c r="BA6" s="74">
        <f t="shared" si="1"/>
        <v>37592429.279574402</v>
      </c>
      <c r="BB6" s="74">
        <f t="shared" si="1"/>
        <v>36168512.111670397</v>
      </c>
      <c r="BC6" s="74">
        <f t="shared" si="1"/>
        <v>36168512.111670397</v>
      </c>
      <c r="BD6" s="74">
        <f>BD28</f>
        <v>35336659.992480002</v>
      </c>
    </row>
    <row r="7" spans="1:61" s="73" customFormat="1" x14ac:dyDescent="0.25">
      <c r="A7" s="9">
        <v>5</v>
      </c>
      <c r="B7" s="73" t="s">
        <v>147</v>
      </c>
      <c r="C7" s="73">
        <f t="shared" si="1"/>
        <v>2130122.8594496953</v>
      </c>
      <c r="D7" s="73">
        <f t="shared" si="1"/>
        <v>2108030.5592994071</v>
      </c>
      <c r="E7" s="73">
        <f t="shared" si="1"/>
        <v>2133682.8942203722</v>
      </c>
      <c r="F7" s="73">
        <f t="shared" si="1"/>
        <v>2259186.3942833315</v>
      </c>
      <c r="G7" s="73">
        <f t="shared" si="1"/>
        <v>2306090.4522228641</v>
      </c>
      <c r="H7" s="73">
        <f t="shared" si="1"/>
        <v>2421021.2568190349</v>
      </c>
      <c r="I7" s="73">
        <f t="shared" si="1"/>
        <v>2531983.8558759452</v>
      </c>
      <c r="J7" s="73">
        <f t="shared" si="1"/>
        <v>2630612.6416804101</v>
      </c>
      <c r="K7" s="73">
        <f t="shared" si="1"/>
        <v>2772267.7867220188</v>
      </c>
      <c r="L7" s="73">
        <f t="shared" si="1"/>
        <v>2798807.046824927</v>
      </c>
      <c r="M7" s="73">
        <f t="shared" si="1"/>
        <v>2839109.620829856</v>
      </c>
      <c r="N7" s="73">
        <f t="shared" si="1"/>
        <v>2742127.9663457414</v>
      </c>
      <c r="O7" s="73">
        <f t="shared" si="1"/>
        <v>2897836.5750926342</v>
      </c>
      <c r="P7" s="73">
        <f t="shared" si="1"/>
        <v>2910344.8038464854</v>
      </c>
      <c r="Q7" s="73">
        <f t="shared" si="1"/>
        <v>2843311.2465449325</v>
      </c>
      <c r="R7" s="73">
        <f t="shared" si="1"/>
        <v>2840219.3433446088</v>
      </c>
      <c r="S7" s="73">
        <f t="shared" si="1"/>
        <v>3101562.0122848544</v>
      </c>
      <c r="T7" s="73">
        <f t="shared" si="1"/>
        <v>3441642.3570248839</v>
      </c>
      <c r="U7" s="73">
        <f t="shared" si="1"/>
        <v>3687976.7243346884</v>
      </c>
      <c r="V7" s="73">
        <f t="shared" si="1"/>
        <v>3899993.5156747079</v>
      </c>
      <c r="W7" s="73">
        <f t="shared" si="1"/>
        <v>2916118.4074845202</v>
      </c>
      <c r="X7" s="73">
        <f t="shared" si="1"/>
        <v>2722770.6068425477</v>
      </c>
      <c r="Y7" s="73">
        <f t="shared" si="1"/>
        <v>3358067.9331692993</v>
      </c>
      <c r="Z7" s="73">
        <f t="shared" si="1"/>
        <v>2994492.3384818826</v>
      </c>
      <c r="AA7" s="73">
        <f t="shared" si="1"/>
        <v>3482530.1113537434</v>
      </c>
      <c r="AB7" s="73">
        <f t="shared" si="1"/>
        <v>3505334.7665957548</v>
      </c>
      <c r="AC7" s="73">
        <f t="shared" si="1"/>
        <v>3131813.3376631956</v>
      </c>
      <c r="AD7" s="73">
        <f t="shared" si="1"/>
        <v>2766281.4536828827</v>
      </c>
      <c r="AE7" s="73">
        <f t="shared" si="1"/>
        <v>2907318.2568656672</v>
      </c>
      <c r="AF7" s="73">
        <f t="shared" si="1"/>
        <v>3290737.7869488443</v>
      </c>
      <c r="AG7" s="73">
        <f t="shared" si="1"/>
        <v>2369698.2641813587</v>
      </c>
      <c r="AH7" s="73">
        <f t="shared" si="1"/>
        <v>2400964.3802444316</v>
      </c>
      <c r="AI7" s="73">
        <f t="shared" si="1"/>
        <v>2472698.9932583263</v>
      </c>
      <c r="AJ7" s="73">
        <f t="shared" si="1"/>
        <v>2861990.9556987225</v>
      </c>
      <c r="AK7" s="73">
        <f t="shared" si="1"/>
        <v>2870640.7307173638</v>
      </c>
      <c r="AL7" s="73">
        <f t="shared" si="1"/>
        <v>3288469.0718724271</v>
      </c>
      <c r="AM7" s="73">
        <f t="shared" si="1"/>
        <v>3614577.5016349317</v>
      </c>
      <c r="AN7" s="73">
        <f t="shared" si="1"/>
        <v>3265756.5426287553</v>
      </c>
      <c r="AO7" s="73">
        <f t="shared" si="1"/>
        <v>3088025.0744914035</v>
      </c>
      <c r="AP7" s="73">
        <f t="shared" si="1"/>
        <v>3212141.13010483</v>
      </c>
      <c r="AQ7" s="73">
        <f t="shared" si="1"/>
        <v>3221255.61518761</v>
      </c>
      <c r="AR7" s="73">
        <f t="shared" si="1"/>
        <v>1862584.2109097564</v>
      </c>
      <c r="AS7" s="73">
        <f t="shared" si="1"/>
        <v>1874938.3038915109</v>
      </c>
      <c r="AT7" s="73">
        <f t="shared" si="1"/>
        <v>2422429.8817234626</v>
      </c>
      <c r="AU7" s="73">
        <f t="shared" si="1"/>
        <v>2505910.639054013</v>
      </c>
      <c r="AV7" s="73">
        <f t="shared" si="1"/>
        <v>2350822.2897821199</v>
      </c>
      <c r="AW7" s="73">
        <f t="shared" si="1"/>
        <v>2178361.9347844198</v>
      </c>
      <c r="AX7" s="73">
        <f t="shared" si="1"/>
        <v>2153431.1373521099</v>
      </c>
      <c r="AY7" s="73">
        <f t="shared" si="1"/>
        <v>2209726.48639281</v>
      </c>
      <c r="AZ7" s="73">
        <f t="shared" si="1"/>
        <v>2623273.90759973</v>
      </c>
      <c r="BA7" s="74">
        <f t="shared" si="1"/>
        <v>2551519.67699706</v>
      </c>
      <c r="BB7" s="74">
        <f t="shared" si="1"/>
        <v>2561885.1698363</v>
      </c>
      <c r="BC7" s="74">
        <f t="shared" si="1"/>
        <v>2561885.1698363</v>
      </c>
      <c r="BD7" s="74">
        <f>BD29</f>
        <v>2564565.9007429997</v>
      </c>
    </row>
    <row r="8" spans="1:61" s="73" customFormat="1" x14ac:dyDescent="0.25">
      <c r="A8" s="9">
        <v>6</v>
      </c>
      <c r="B8" s="73" t="s">
        <v>148</v>
      </c>
      <c r="C8" s="73">
        <f t="shared" si="1"/>
        <v>53856175.163480811</v>
      </c>
      <c r="D8" s="73">
        <f t="shared" si="1"/>
        <v>54001263.074876629</v>
      </c>
      <c r="E8" s="73">
        <f t="shared" si="1"/>
        <v>58193097.672568567</v>
      </c>
      <c r="F8" s="73">
        <f t="shared" si="1"/>
        <v>61107133.155055173</v>
      </c>
      <c r="G8" s="73">
        <f t="shared" si="1"/>
        <v>65184221.360270254</v>
      </c>
      <c r="H8" s="73">
        <f t="shared" si="1"/>
        <v>69629229.563598126</v>
      </c>
      <c r="I8" s="73">
        <f t="shared" si="1"/>
        <v>72595782.246875733</v>
      </c>
      <c r="J8" s="73">
        <f t="shared" si="1"/>
        <v>73405574.773840234</v>
      </c>
      <c r="K8" s="73">
        <f t="shared" si="1"/>
        <v>77083510.340363771</v>
      </c>
      <c r="L8" s="73">
        <f t="shared" si="1"/>
        <v>79255731.035928458</v>
      </c>
      <c r="M8" s="73">
        <f t="shared" si="1"/>
        <v>80272715.100162476</v>
      </c>
      <c r="N8" s="73">
        <f t="shared" si="1"/>
        <v>81090266.268470153</v>
      </c>
      <c r="O8" s="73">
        <f t="shared" si="1"/>
        <v>82035450.689404085</v>
      </c>
      <c r="P8" s="73">
        <f t="shared" si="1"/>
        <v>88083288.26726532</v>
      </c>
      <c r="Q8" s="73">
        <f t="shared" si="1"/>
        <v>82363091.666508928</v>
      </c>
      <c r="R8" s="73">
        <f t="shared" si="1"/>
        <v>72879863.227163777</v>
      </c>
      <c r="S8" s="73">
        <f t="shared" si="1"/>
        <v>79254340.001839638</v>
      </c>
      <c r="T8" s="73">
        <f t="shared" si="1"/>
        <v>74140096.112295896</v>
      </c>
      <c r="U8" s="73">
        <f t="shared" si="1"/>
        <v>77286127.518838242</v>
      </c>
      <c r="V8" s="73">
        <f t="shared" si="1"/>
        <v>80769585.12874423</v>
      </c>
      <c r="W8" s="73">
        <f t="shared" si="1"/>
        <v>73486973.296463341</v>
      </c>
      <c r="X8" s="73">
        <f t="shared" si="1"/>
        <v>68963132.654763669</v>
      </c>
      <c r="Y8" s="73">
        <f t="shared" si="1"/>
        <v>67569288.461895362</v>
      </c>
      <c r="Z8" s="73">
        <f t="shared" si="1"/>
        <v>69067091.521282881</v>
      </c>
      <c r="AA8" s="73">
        <f t="shared" si="1"/>
        <v>76301848.082822889</v>
      </c>
      <c r="AB8" s="73">
        <f t="shared" si="1"/>
        <v>72156751.667815298</v>
      </c>
      <c r="AC8" s="73">
        <f t="shared" si="1"/>
        <v>73827033.560932234</v>
      </c>
      <c r="AD8" s="73">
        <f t="shared" si="1"/>
        <v>77897581.718963236</v>
      </c>
      <c r="AE8" s="73">
        <f t="shared" si="1"/>
        <v>80738182.035065576</v>
      </c>
      <c r="AF8" s="73">
        <f t="shared" si="1"/>
        <v>84508635.24608238</v>
      </c>
      <c r="AG8" s="73">
        <f t="shared" si="1"/>
        <v>76851864.818631932</v>
      </c>
      <c r="AH8" s="73">
        <f t="shared" si="1"/>
        <v>74912432.090732932</v>
      </c>
      <c r="AI8" s="73">
        <f t="shared" si="1"/>
        <v>72842462.514033645</v>
      </c>
      <c r="AJ8" s="73">
        <f t="shared" si="1"/>
        <v>76273520.334172815</v>
      </c>
      <c r="AK8" s="73">
        <f t="shared" si="1"/>
        <v>77405046.409319431</v>
      </c>
      <c r="AL8" s="73">
        <f t="shared" si="1"/>
        <v>77461482.791844472</v>
      </c>
      <c r="AM8" s="73">
        <f t="shared" si="1"/>
        <v>79642683.98012197</v>
      </c>
      <c r="AN8" s="73">
        <f t="shared" si="1"/>
        <v>80492256.98646684</v>
      </c>
      <c r="AO8" s="73">
        <f t="shared" si="1"/>
        <v>82827803.523548141</v>
      </c>
      <c r="AP8" s="73">
        <f t="shared" si="1"/>
        <v>85341755.766695455</v>
      </c>
      <c r="AQ8" s="73">
        <f t="shared" si="1"/>
        <v>85372524.653682142</v>
      </c>
      <c r="AR8" s="73">
        <f t="shared" si="1"/>
        <v>84190173.173774853</v>
      </c>
      <c r="AS8" s="73">
        <f t="shared" si="1"/>
        <v>84533751.10972327</v>
      </c>
      <c r="AT8" s="73">
        <f t="shared" ref="AT8:BC8" si="2">AT30</f>
        <v>87176940.45413059</v>
      </c>
      <c r="AU8" s="73">
        <f t="shared" si="2"/>
        <v>88448411.656036034</v>
      </c>
      <c r="AV8" s="73">
        <f t="shared" si="2"/>
        <v>90426495.418282375</v>
      </c>
      <c r="AW8" s="73">
        <f t="shared" si="2"/>
        <v>84430375.014775604</v>
      </c>
      <c r="AX8" s="73">
        <f t="shared" si="2"/>
        <v>85755478.568689167</v>
      </c>
      <c r="AY8" s="73">
        <f t="shared" si="2"/>
        <v>81939948.002761319</v>
      </c>
      <c r="AZ8" s="73">
        <f t="shared" si="2"/>
        <v>78941759.589699939</v>
      </c>
      <c r="BA8" s="74">
        <f t="shared" si="2"/>
        <v>77943472.636554927</v>
      </c>
      <c r="BB8" s="74">
        <f t="shared" si="2"/>
        <v>73092854.261319205</v>
      </c>
      <c r="BC8" s="74">
        <f t="shared" si="2"/>
        <v>73092854.261319205</v>
      </c>
      <c r="BD8" s="74">
        <f>BD30</f>
        <v>68459743.860122994</v>
      </c>
    </row>
    <row r="9" spans="1:61" x14ac:dyDescent="0.25">
      <c r="A9" s="14"/>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BI9" s="73"/>
    </row>
    <row r="10" spans="1:61" x14ac:dyDescent="0.25">
      <c r="A10" s="130" t="s">
        <v>4</v>
      </c>
      <c r="B10" s="130"/>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30"/>
      <c r="BA10" s="75"/>
      <c r="BB10" s="75"/>
      <c r="BC10" s="75"/>
      <c r="BI10" s="73"/>
    </row>
    <row r="11" spans="1:61" x14ac:dyDescent="0.25">
      <c r="A11" s="14">
        <v>1</v>
      </c>
      <c r="B11" s="7" t="s">
        <v>149</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BI11" s="73"/>
    </row>
    <row r="12" spans="1:61" x14ac:dyDescent="0.25">
      <c r="A12" s="14">
        <v>2</v>
      </c>
      <c r="B12" s="73" t="s">
        <v>150</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BI12" s="73"/>
    </row>
    <row r="13" spans="1:61" x14ac:dyDescent="0.25">
      <c r="A13" s="14">
        <v>3</v>
      </c>
      <c r="B13" s="73" t="s">
        <v>150</v>
      </c>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BI13" s="73"/>
    </row>
    <row r="14" spans="1:61" x14ac:dyDescent="0.25">
      <c r="A14" s="14">
        <v>4</v>
      </c>
      <c r="B14" s="73" t="s">
        <v>150</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BI14" s="73"/>
    </row>
    <row r="15" spans="1:61" x14ac:dyDescent="0.25">
      <c r="A15" s="14">
        <v>5</v>
      </c>
      <c r="B15" s="73" t="s">
        <v>150</v>
      </c>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BI15" s="73"/>
    </row>
    <row r="16" spans="1:61" x14ac:dyDescent="0.25">
      <c r="A16" s="14">
        <v>6</v>
      </c>
      <c r="B16" s="7" t="s">
        <v>151</v>
      </c>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BI16" s="73"/>
    </row>
    <row r="17" spans="1:61" x14ac:dyDescent="0.25">
      <c r="A17" s="14">
        <v>7</v>
      </c>
      <c r="B17" s="7" t="s">
        <v>152</v>
      </c>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BI17" s="73"/>
    </row>
    <row r="18" spans="1:61" x14ac:dyDescent="0.25">
      <c r="A18" s="14"/>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BI18" s="73"/>
    </row>
    <row r="19" spans="1:61" x14ac:dyDescent="0.25">
      <c r="A19" s="14"/>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BI19" s="73"/>
    </row>
    <row r="20" spans="1:61" ht="14" thickBot="1" x14ac:dyDescent="0.3">
      <c r="A20" s="130" t="s">
        <v>7</v>
      </c>
      <c r="B20" s="130"/>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BE20" s="7" t="s">
        <v>153</v>
      </c>
      <c r="BI20" s="73"/>
    </row>
    <row r="21" spans="1:61" s="11" customFormat="1" x14ac:dyDescent="0.25">
      <c r="A21" s="76">
        <v>1</v>
      </c>
      <c r="B21" s="57" t="s">
        <v>143</v>
      </c>
      <c r="C21" s="57">
        <f>C30*C31/1000000000</f>
        <v>0</v>
      </c>
      <c r="D21" s="57">
        <f t="shared" ref="D21:AZ21" si="3">D30*D31/1000000000</f>
        <v>0</v>
      </c>
      <c r="E21" s="57">
        <f t="shared" si="3"/>
        <v>0</v>
      </c>
      <c r="F21" s="57">
        <f t="shared" si="3"/>
        <v>0</v>
      </c>
      <c r="G21" s="57">
        <f t="shared" si="3"/>
        <v>0</v>
      </c>
      <c r="H21" s="57">
        <f t="shared" si="3"/>
        <v>5.1543037184453508E-2</v>
      </c>
      <c r="I21" s="57">
        <f t="shared" si="3"/>
        <v>0.10747805561649951</v>
      </c>
      <c r="J21" s="57">
        <f t="shared" si="3"/>
        <v>0.16301543017900569</v>
      </c>
      <c r="K21" s="57">
        <f t="shared" si="3"/>
        <v>0.22824427411781711</v>
      </c>
      <c r="L21" s="57">
        <f t="shared" si="3"/>
        <v>0.2933452744967302</v>
      </c>
      <c r="M21" s="57">
        <f t="shared" si="3"/>
        <v>0.35653126411737163</v>
      </c>
      <c r="N21" s="57">
        <f t="shared" si="3"/>
        <v>0.42018948723664518</v>
      </c>
      <c r="O21" s="57">
        <f t="shared" si="3"/>
        <v>0.48581393898265085</v>
      </c>
      <c r="P21" s="57">
        <f t="shared" si="3"/>
        <v>0.58683288725858818</v>
      </c>
      <c r="Q21" s="57">
        <f t="shared" si="3"/>
        <v>0.60969278606133226</v>
      </c>
      <c r="R21" s="57">
        <f t="shared" si="3"/>
        <v>0.59344250629298767</v>
      </c>
      <c r="S21" s="57">
        <f t="shared" si="3"/>
        <v>0.70401630223634126</v>
      </c>
      <c r="T21" s="57">
        <f t="shared" si="3"/>
        <v>0.71346867991265128</v>
      </c>
      <c r="U21" s="57">
        <f t="shared" si="3"/>
        <v>0.80095478254147978</v>
      </c>
      <c r="V21" s="57">
        <f t="shared" si="3"/>
        <v>0.8968452808732934</v>
      </c>
      <c r="W21" s="57">
        <f t="shared" si="3"/>
        <v>0.87037971172331152</v>
      </c>
      <c r="X21" s="57">
        <f t="shared" si="3"/>
        <v>0.86784930211070943</v>
      </c>
      <c r="Y21" s="57">
        <f t="shared" si="3"/>
        <v>0.90032698411052436</v>
      </c>
      <c r="Z21" s="57">
        <f t="shared" si="3"/>
        <v>0.97141137547396306</v>
      </c>
      <c r="AA21" s="57">
        <f t="shared" si="3"/>
        <v>1.1296488608661923</v>
      </c>
      <c r="AB21" s="57">
        <f t="shared" si="3"/>
        <v>1.1216947438641052</v>
      </c>
      <c r="AC21" s="57">
        <f t="shared" si="3"/>
        <v>1.2023101550565616</v>
      </c>
      <c r="AD21" s="57">
        <f t="shared" si="3"/>
        <v>1.326264751951638</v>
      </c>
      <c r="AE21" s="57">
        <f t="shared" si="3"/>
        <v>1.4343945420349746</v>
      </c>
      <c r="AF21" s="57">
        <f t="shared" si="3"/>
        <v>1.5639379310228116</v>
      </c>
      <c r="AG21" s="57">
        <f t="shared" si="3"/>
        <v>1.4791294162317992</v>
      </c>
      <c r="AH21" s="57">
        <f t="shared" si="3"/>
        <v>1.4972560520894558</v>
      </c>
      <c r="AI21" s="57">
        <f t="shared" si="3"/>
        <v>1.5098057205283748</v>
      </c>
      <c r="AJ21" s="57">
        <f t="shared" si="3"/>
        <v>1.6373827293937708</v>
      </c>
      <c r="AK21" s="57">
        <f t="shared" si="3"/>
        <v>1.7189725681349606</v>
      </c>
      <c r="AL21" s="57">
        <f t="shared" si="3"/>
        <v>1.7775667417365484</v>
      </c>
      <c r="AM21" s="57">
        <f t="shared" si="3"/>
        <v>1.8865758981211285</v>
      </c>
      <c r="AN21" s="57">
        <f t="shared" si="3"/>
        <v>1.966284976729658</v>
      </c>
      <c r="AO21" s="57">
        <f t="shared" si="3"/>
        <v>2.0846515729824207</v>
      </c>
      <c r="AP21" s="57">
        <f t="shared" si="3"/>
        <v>2.2110982147203702</v>
      </c>
      <c r="AQ21" s="57">
        <f t="shared" si="3"/>
        <v>2.2750924094959744</v>
      </c>
      <c r="AR21" s="57">
        <f t="shared" si="3"/>
        <v>2.305905700599812</v>
      </c>
      <c r="AS21" s="57">
        <f t="shared" si="3"/>
        <v>2.3778921518409599</v>
      </c>
      <c r="AT21" s="57">
        <f t="shared" si="3"/>
        <v>2.516776476675636</v>
      </c>
      <c r="AU21" s="57">
        <f t="shared" si="3"/>
        <v>2.6189574691352266</v>
      </c>
      <c r="AV21" s="57">
        <f t="shared" si="3"/>
        <v>2.7444667425687257</v>
      </c>
      <c r="AW21" s="57">
        <f t="shared" si="3"/>
        <v>2.6249825743968827</v>
      </c>
      <c r="AX21" s="57">
        <f t="shared" si="3"/>
        <v>2.7296611994503053</v>
      </c>
      <c r="AY21" s="57">
        <f t="shared" si="3"/>
        <v>2.6688660463979419</v>
      </c>
      <c r="AZ21" s="57">
        <f t="shared" si="3"/>
        <v>2.629648689132396</v>
      </c>
      <c r="BA21" s="57">
        <f>BA30*BA31/1000000000</f>
        <v>2.654092158483655</v>
      </c>
      <c r="BB21" s="57">
        <f>BB30*BB31/1000000000</f>
        <v>2.5430283122462578</v>
      </c>
      <c r="BC21" s="57">
        <f>BC30*BC31/1000000000</f>
        <v>2.5971352976132001</v>
      </c>
      <c r="BD21" s="77">
        <f>BD30*BD31/1000000000</f>
        <v>2.4831889442303523</v>
      </c>
      <c r="BI21" s="57"/>
    </row>
    <row r="22" spans="1:61" s="12" customFormat="1" x14ac:dyDescent="0.25">
      <c r="A22" s="12">
        <v>2</v>
      </c>
      <c r="B22" s="12" t="s">
        <v>154</v>
      </c>
      <c r="C22" s="78">
        <v>226566.02968000001</v>
      </c>
      <c r="D22" s="78">
        <v>230214.32474000001</v>
      </c>
      <c r="E22" s="78">
        <v>252310.16644999999</v>
      </c>
      <c r="F22" s="78">
        <v>275327.75248999998</v>
      </c>
      <c r="G22" s="78">
        <v>300629.29479000001</v>
      </c>
      <c r="H22" s="78">
        <v>327393.00871000002</v>
      </c>
      <c r="I22" s="78">
        <v>339046.07990999997</v>
      </c>
      <c r="J22" s="78">
        <v>350715.13215000002</v>
      </c>
      <c r="K22" s="78">
        <v>362795.31047000003</v>
      </c>
      <c r="L22" s="78">
        <v>355397.11705</v>
      </c>
      <c r="M22" s="78">
        <v>311291.83750999998</v>
      </c>
      <c r="N22" s="78">
        <v>273953.03363999998</v>
      </c>
      <c r="O22" s="78">
        <v>226421.02916999999</v>
      </c>
      <c r="P22" s="78">
        <v>256761.06294</v>
      </c>
      <c r="Q22" s="78">
        <v>217510.20634</v>
      </c>
      <c r="R22" s="78">
        <v>197160.45326000001</v>
      </c>
      <c r="S22" s="78">
        <v>245318.02136000001</v>
      </c>
      <c r="T22" s="78">
        <v>189727.64772000001</v>
      </c>
      <c r="U22" s="78">
        <v>209720.16204</v>
      </c>
      <c r="V22" s="78">
        <v>240709.43595000001</v>
      </c>
      <c r="W22" s="78">
        <v>235709.99199000001</v>
      </c>
      <c r="X22" s="78">
        <v>210368.14569999999</v>
      </c>
      <c r="Y22" s="78">
        <v>217255.68145</v>
      </c>
      <c r="Z22" s="78">
        <v>232599.99341</v>
      </c>
      <c r="AA22" s="78">
        <v>270157.56962000002</v>
      </c>
      <c r="AB22" s="78">
        <v>256210.44200000001</v>
      </c>
      <c r="AC22" s="78">
        <v>275041.89600000001</v>
      </c>
      <c r="AD22" s="78">
        <v>288900.91360999999</v>
      </c>
      <c r="AE22" s="78">
        <v>301217.46286999999</v>
      </c>
      <c r="AF22" s="78">
        <v>295785.10012000002</v>
      </c>
      <c r="AG22" s="78">
        <v>286482.46110999997</v>
      </c>
      <c r="AH22" s="78">
        <v>274761.37224</v>
      </c>
      <c r="AI22" s="78">
        <v>247492.51899000001</v>
      </c>
      <c r="AJ22" s="78">
        <v>261730.40594</v>
      </c>
      <c r="AK22" s="78">
        <v>268862.39121999999</v>
      </c>
      <c r="AL22" s="78">
        <v>289561.84881</v>
      </c>
      <c r="AM22" s="78">
        <v>292476.30895999999</v>
      </c>
      <c r="AN22" s="78">
        <v>289685.97154</v>
      </c>
      <c r="AO22" s="78">
        <v>303895.7464</v>
      </c>
      <c r="AP22" s="78">
        <v>305186.49076999997</v>
      </c>
      <c r="AQ22" s="78">
        <v>312161.68278999999</v>
      </c>
      <c r="AR22" s="78">
        <v>318850.90356000001</v>
      </c>
      <c r="AS22" s="78">
        <v>325833.74917999998</v>
      </c>
      <c r="AT22" s="79">
        <v>329590.48955</v>
      </c>
      <c r="AU22" s="79">
        <v>327238.97633999999</v>
      </c>
      <c r="AV22" s="79">
        <v>329303.60051000002</v>
      </c>
      <c r="AW22" s="79">
        <v>324657.46837000002</v>
      </c>
      <c r="AX22" s="80">
        <v>327979</v>
      </c>
      <c r="AY22" s="80">
        <v>309294</v>
      </c>
      <c r="AZ22" s="80">
        <v>266860</v>
      </c>
      <c r="BA22" s="80">
        <v>266067</v>
      </c>
      <c r="BB22" s="78">
        <v>241190</v>
      </c>
      <c r="BC22" s="78">
        <v>241190</v>
      </c>
      <c r="BD22" s="81">
        <v>192400</v>
      </c>
      <c r="BE22" s="82">
        <f>BD22/BC22-1</f>
        <v>-0.20228865210000413</v>
      </c>
    </row>
    <row r="23" spans="1:61" s="12" customFormat="1" x14ac:dyDescent="0.25">
      <c r="A23" s="41">
        <v>3</v>
      </c>
      <c r="B23" s="12" t="s">
        <v>155</v>
      </c>
      <c r="C23" s="78">
        <v>73315.405559999999</v>
      </c>
      <c r="D23" s="78">
        <v>76519.620880000002</v>
      </c>
      <c r="E23" s="78">
        <v>84795.735010000004</v>
      </c>
      <c r="F23" s="78">
        <v>89003.732440000007</v>
      </c>
      <c r="G23" s="78">
        <v>94255.095329999996</v>
      </c>
      <c r="H23" s="78">
        <v>100978.99612</v>
      </c>
      <c r="I23" s="78">
        <v>102825.73104</v>
      </c>
      <c r="J23" s="78">
        <v>121286.74304</v>
      </c>
      <c r="K23" s="78">
        <v>129701.78866999999</v>
      </c>
      <c r="L23" s="78">
        <v>147719.70048</v>
      </c>
      <c r="M23" s="78">
        <v>159583.77721999999</v>
      </c>
      <c r="N23" s="78">
        <v>164689.46539999999</v>
      </c>
      <c r="O23" s="78">
        <v>180283.10870000001</v>
      </c>
      <c r="P23" s="78">
        <v>177629.41164000001</v>
      </c>
      <c r="Q23" s="78">
        <v>175541.43695999999</v>
      </c>
      <c r="R23" s="78">
        <v>141853.71567999999</v>
      </c>
      <c r="S23" s="78">
        <v>149642.35399999999</v>
      </c>
      <c r="T23" s="78">
        <v>135167.71849</v>
      </c>
      <c r="U23" s="78">
        <v>139641.94441</v>
      </c>
      <c r="V23" s="78">
        <v>179631.26561</v>
      </c>
      <c r="W23" s="78">
        <v>163449.12377999999</v>
      </c>
      <c r="X23" s="78">
        <v>177743.41104000001</v>
      </c>
      <c r="Y23" s="78">
        <v>160833.48202</v>
      </c>
      <c r="Z23" s="78">
        <v>148686.56883</v>
      </c>
      <c r="AA23" s="78">
        <v>163124.31865999999</v>
      </c>
      <c r="AB23" s="78">
        <v>155966.18077000001</v>
      </c>
      <c r="AC23" s="78">
        <v>158032.28434000001</v>
      </c>
      <c r="AD23" s="78">
        <v>174283.23123</v>
      </c>
      <c r="AE23" s="78">
        <v>178433.40372</v>
      </c>
      <c r="AF23" s="78">
        <v>199615.14593</v>
      </c>
      <c r="AG23" s="78">
        <v>180590.50143</v>
      </c>
      <c r="AH23" s="78">
        <v>183034.72521999999</v>
      </c>
      <c r="AI23" s="78">
        <v>190092.34140999999</v>
      </c>
      <c r="AJ23" s="78">
        <v>186992.34246000001</v>
      </c>
      <c r="AK23" s="78">
        <v>192015.52294</v>
      </c>
      <c r="AL23" s="78">
        <v>199201.55403</v>
      </c>
      <c r="AM23" s="78">
        <v>201734.64176999999</v>
      </c>
      <c r="AN23" s="78">
        <v>219192.05003000001</v>
      </c>
      <c r="AO23" s="78">
        <v>195539.78294999999</v>
      </c>
      <c r="AP23" s="78">
        <v>203039.59030000001</v>
      </c>
      <c r="AQ23" s="78">
        <v>219360.2028</v>
      </c>
      <c r="AR23" s="78">
        <v>184976.00636999999</v>
      </c>
      <c r="AS23" s="78">
        <v>203538.27111</v>
      </c>
      <c r="AT23" s="79">
        <v>204510.63381999999</v>
      </c>
      <c r="AU23" s="79">
        <v>201929.35006</v>
      </c>
      <c r="AV23" s="79">
        <v>212229.89420000001</v>
      </c>
      <c r="AW23" s="79">
        <v>189221.44190999999</v>
      </c>
      <c r="AX23" s="80">
        <v>208693</v>
      </c>
      <c r="AY23" s="80">
        <v>202931</v>
      </c>
      <c r="AZ23" s="80">
        <v>203780</v>
      </c>
      <c r="BA23" s="80">
        <v>217744</v>
      </c>
      <c r="BB23" s="78">
        <v>199170</v>
      </c>
      <c r="BC23" s="78">
        <v>199170</v>
      </c>
      <c r="BD23" s="81">
        <v>216700</v>
      </c>
      <c r="BE23" s="82">
        <f t="shared" ref="BE23:BE30" si="4">BD23/BC23-1</f>
        <v>8.8015263342873018E-2</v>
      </c>
    </row>
    <row r="24" spans="1:61" s="12" customFormat="1" x14ac:dyDescent="0.25">
      <c r="A24" s="12">
        <v>4</v>
      </c>
      <c r="B24" s="12" t="s">
        <v>156</v>
      </c>
      <c r="C24" s="83">
        <v>353293</v>
      </c>
      <c r="D24" s="83">
        <v>348291</v>
      </c>
      <c r="E24" s="83">
        <v>369798</v>
      </c>
      <c r="F24" s="83">
        <v>374135</v>
      </c>
      <c r="G24" s="83">
        <v>391729</v>
      </c>
      <c r="H24" s="83">
        <v>410386</v>
      </c>
      <c r="I24" s="83">
        <v>432689</v>
      </c>
      <c r="J24" s="83">
        <v>412962</v>
      </c>
      <c r="K24" s="83">
        <v>439144</v>
      </c>
      <c r="L24" s="83">
        <v>465137</v>
      </c>
      <c r="M24" s="83">
        <v>528963</v>
      </c>
      <c r="N24" s="83">
        <v>587909</v>
      </c>
      <c r="O24" s="83">
        <v>650963</v>
      </c>
      <c r="P24" s="83">
        <v>695344</v>
      </c>
      <c r="Q24" s="83">
        <v>671759</v>
      </c>
      <c r="R24" s="83">
        <v>593744</v>
      </c>
      <c r="S24" s="83">
        <v>607423</v>
      </c>
      <c r="T24" s="83">
        <v>617824</v>
      </c>
      <c r="U24" s="83">
        <v>627558</v>
      </c>
      <c r="V24" s="83">
        <v>601001</v>
      </c>
      <c r="W24" s="83">
        <v>533066</v>
      </c>
      <c r="X24" s="83">
        <v>496729</v>
      </c>
      <c r="Y24" s="83">
        <v>472197</v>
      </c>
      <c r="Z24" s="83">
        <v>486336</v>
      </c>
      <c r="AA24" s="83">
        <v>518002</v>
      </c>
      <c r="AB24" s="83">
        <v>484683</v>
      </c>
      <c r="AC24" s="83">
        <v>485990</v>
      </c>
      <c r="AD24" s="83">
        <v>516303</v>
      </c>
      <c r="AE24" s="83">
        <v>533837</v>
      </c>
      <c r="AF24" s="83">
        <v>571920</v>
      </c>
      <c r="AG24" s="83">
        <v>505878</v>
      </c>
      <c r="AH24" s="83">
        <v>492641</v>
      </c>
      <c r="AI24" s="83">
        <v>494480</v>
      </c>
      <c r="AJ24" s="83">
        <v>519585</v>
      </c>
      <c r="AK24" s="83">
        <v>521706</v>
      </c>
      <c r="AL24" s="83">
        <v>483522</v>
      </c>
      <c r="AM24" s="83">
        <v>503267</v>
      </c>
      <c r="AN24" s="83">
        <v>510436</v>
      </c>
      <c r="AO24" s="83">
        <v>543711</v>
      </c>
      <c r="AP24" s="83">
        <v>569281</v>
      </c>
      <c r="AQ24" s="83">
        <v>547966</v>
      </c>
      <c r="AR24" s="83">
        <v>567195</v>
      </c>
      <c r="AS24" s="83">
        <v>548454</v>
      </c>
      <c r="AT24" s="79">
        <v>571553</v>
      </c>
      <c r="AU24" s="79">
        <v>593018</v>
      </c>
      <c r="AV24" s="79">
        <v>611911</v>
      </c>
      <c r="AW24" s="79">
        <v>555167</v>
      </c>
      <c r="AX24" s="80">
        <v>554702</v>
      </c>
      <c r="AY24" s="80">
        <v>530782</v>
      </c>
      <c r="AZ24" s="80">
        <v>540156</v>
      </c>
      <c r="BA24" s="80">
        <v>517982</v>
      </c>
      <c r="BB24" s="78">
        <v>498362</v>
      </c>
      <c r="BC24" s="78">
        <v>498362</v>
      </c>
      <c r="BD24" s="81">
        <v>486900</v>
      </c>
      <c r="BE24" s="82">
        <f t="shared" si="4"/>
        <v>-2.2999345857027675E-2</v>
      </c>
    </row>
    <row r="25" spans="1:61" s="12" customFormat="1" ht="15" customHeight="1" x14ac:dyDescent="0.25">
      <c r="A25" s="41">
        <v>5</v>
      </c>
      <c r="B25" s="12" t="s">
        <v>157</v>
      </c>
      <c r="C25" s="78">
        <v>23838.157579999999</v>
      </c>
      <c r="D25" s="78">
        <v>23590.923139999999</v>
      </c>
      <c r="E25" s="78">
        <v>23877.99785</v>
      </c>
      <c r="F25" s="78">
        <v>25282.504730000001</v>
      </c>
      <c r="G25" s="78">
        <v>25807.406999999999</v>
      </c>
      <c r="H25" s="78">
        <v>27093.595079999999</v>
      </c>
      <c r="I25" s="78">
        <v>28335.375059999998</v>
      </c>
      <c r="J25" s="78">
        <v>29439.12761</v>
      </c>
      <c r="K25" s="78">
        <v>31024.387190000001</v>
      </c>
      <c r="L25" s="78">
        <v>31321.387460000002</v>
      </c>
      <c r="M25" s="78">
        <v>31772.412670000002</v>
      </c>
      <c r="N25" s="78">
        <v>30687.093130000001</v>
      </c>
      <c r="O25" s="78">
        <v>32429.62471</v>
      </c>
      <c r="P25" s="78">
        <v>32569.604019999999</v>
      </c>
      <c r="Q25" s="78">
        <v>31819.432970000002</v>
      </c>
      <c r="R25" s="78">
        <v>31784.831549999999</v>
      </c>
      <c r="S25" s="78">
        <v>34709.511550000003</v>
      </c>
      <c r="T25" s="78">
        <v>38515.343130000001</v>
      </c>
      <c r="U25" s="78">
        <v>41272.065560000003</v>
      </c>
      <c r="V25" s="78">
        <v>43644.740760000001</v>
      </c>
      <c r="W25" s="78">
        <v>32634.21629</v>
      </c>
      <c r="X25" s="78">
        <v>30470.465349999999</v>
      </c>
      <c r="Y25" s="78">
        <v>37580.063609999997</v>
      </c>
      <c r="Z25" s="78">
        <v>33511.297209999997</v>
      </c>
      <c r="AA25" s="78">
        <v>38972.917079999999</v>
      </c>
      <c r="AB25" s="78">
        <v>39228.123469999999</v>
      </c>
      <c r="AC25" s="78">
        <v>35048.053460000003</v>
      </c>
      <c r="AD25" s="78">
        <v>30957.394270000001</v>
      </c>
      <c r="AE25" s="78">
        <v>32535.734</v>
      </c>
      <c r="AF25" s="78">
        <v>36826.57344</v>
      </c>
      <c r="AG25" s="78">
        <v>26519.240610000001</v>
      </c>
      <c r="AH25" s="78">
        <v>26869.139019999999</v>
      </c>
      <c r="AI25" s="78">
        <v>27671.91948</v>
      </c>
      <c r="AJ25" s="78">
        <v>32028.477180000002</v>
      </c>
      <c r="AK25" s="78">
        <v>32125.276620000001</v>
      </c>
      <c r="AL25" s="78">
        <v>36801.184300000001</v>
      </c>
      <c r="AM25" s="78">
        <v>40450.656490000001</v>
      </c>
      <c r="AN25" s="78">
        <v>36547.008889999997</v>
      </c>
      <c r="AO25" s="78">
        <v>34558.019979999997</v>
      </c>
      <c r="AP25" s="83">
        <v>35947</v>
      </c>
      <c r="AQ25" s="83">
        <v>36049</v>
      </c>
      <c r="AR25" s="78">
        <v>20844.138510000001</v>
      </c>
      <c r="AS25" s="78">
        <v>20982.392889999999</v>
      </c>
      <c r="AT25" s="79">
        <v>27109.358970000001</v>
      </c>
      <c r="AU25" s="79">
        <v>28043.590270000001</v>
      </c>
      <c r="AV25" s="79">
        <v>26308</v>
      </c>
      <c r="AW25" s="79">
        <v>24378</v>
      </c>
      <c r="AX25" s="80">
        <v>24099</v>
      </c>
      <c r="AY25" s="80">
        <v>24729</v>
      </c>
      <c r="AZ25" s="80">
        <v>29357</v>
      </c>
      <c r="BA25" s="80">
        <v>28554</v>
      </c>
      <c r="BB25" s="78">
        <v>28670</v>
      </c>
      <c r="BC25" s="78">
        <v>28670</v>
      </c>
      <c r="BD25" s="81">
        <v>28700</v>
      </c>
      <c r="BE25" s="82">
        <f t="shared" si="4"/>
        <v>1.0463899546564459E-3</v>
      </c>
    </row>
    <row r="26" spans="1:61" s="84" customFormat="1" x14ac:dyDescent="0.25">
      <c r="A26" s="76">
        <v>6</v>
      </c>
      <c r="B26" s="84" t="s">
        <v>158</v>
      </c>
      <c r="C26" s="84">
        <f>C22*1000*215*0.00045359237</f>
        <v>22095253.808268934</v>
      </c>
      <c r="D26" s="84">
        <f t="shared" ref="D26:BA26" si="5">D22*1000*215*0.00045359237</f>
        <v>22451044.15085474</v>
      </c>
      <c r="E26" s="84">
        <f t="shared" si="5"/>
        <v>24605882.770657245</v>
      </c>
      <c r="F26" s="84">
        <f t="shared" si="5"/>
        <v>26850612.072423186</v>
      </c>
      <c r="G26" s="84">
        <f t="shared" si="5"/>
        <v>29318078.177773323</v>
      </c>
      <c r="H26" s="84">
        <f t="shared" si="5"/>
        <v>31928138.709572904</v>
      </c>
      <c r="I26" s="84">
        <f t="shared" si="5"/>
        <v>33064573.709001049</v>
      </c>
      <c r="J26" s="84">
        <f t="shared" si="5"/>
        <v>34202567.217158072</v>
      </c>
      <c r="K26" s="84">
        <f t="shared" si="5"/>
        <v>35380654.710709222</v>
      </c>
      <c r="L26" s="84">
        <f t="shared" si="5"/>
        <v>34659165.431983538</v>
      </c>
      <c r="M26" s="84">
        <f t="shared" si="5"/>
        <v>30357914.502630398</v>
      </c>
      <c r="N26" s="84">
        <f t="shared" si="5"/>
        <v>26716546.246453322</v>
      </c>
      <c r="O26" s="84">
        <f t="shared" si="5"/>
        <v>22081113.016397774</v>
      </c>
      <c r="P26" s="84">
        <f t="shared" si="5"/>
        <v>25039944.698474858</v>
      </c>
      <c r="Q26" s="84">
        <f t="shared" si="5"/>
        <v>21212108.548484169</v>
      </c>
      <c r="R26" s="84">
        <f t="shared" si="5"/>
        <v>19227552.611862689</v>
      </c>
      <c r="S26" s="84">
        <f t="shared" si="5"/>
        <v>23923992.283164501</v>
      </c>
      <c r="T26" s="84">
        <f t="shared" si="5"/>
        <v>18502687.877525579</v>
      </c>
      <c r="U26" s="84">
        <f t="shared" si="5"/>
        <v>20452405.04734914</v>
      </c>
      <c r="V26" s="84">
        <f t="shared" si="5"/>
        <v>23474552.1597936</v>
      </c>
      <c r="W26" s="84">
        <f t="shared" si="5"/>
        <v>22986994.588376399</v>
      </c>
      <c r="X26" s="84">
        <f t="shared" si="5"/>
        <v>20515597.942822184</v>
      </c>
      <c r="Y26" s="84">
        <f t="shared" si="5"/>
        <v>21187286.680647168</v>
      </c>
      <c r="Z26" s="84">
        <f t="shared" si="5"/>
        <v>22683700.188657649</v>
      </c>
      <c r="AA26" s="84">
        <f t="shared" si="5"/>
        <v>26346403.639635798</v>
      </c>
      <c r="AB26" s="84">
        <f t="shared" si="5"/>
        <v>24986246.84518842</v>
      </c>
      <c r="AC26" s="84">
        <f t="shared" si="5"/>
        <v>26822734.673025705</v>
      </c>
      <c r="AD26" s="84">
        <f t="shared" si="5"/>
        <v>28174298.771397907</v>
      </c>
      <c r="AE26" s="84">
        <f t="shared" si="5"/>
        <v>29375437.716746915</v>
      </c>
      <c r="AF26" s="84">
        <f t="shared" si="5"/>
        <v>28845660.883435387</v>
      </c>
      <c r="AG26" s="84">
        <f t="shared" si="5"/>
        <v>27938445.577138308</v>
      </c>
      <c r="AH26" s="84">
        <f t="shared" si="5"/>
        <v>26795377.334040668</v>
      </c>
      <c r="AI26" s="84">
        <f t="shared" si="5"/>
        <v>24136054.422877982</v>
      </c>
      <c r="AJ26" s="84">
        <f t="shared" si="5"/>
        <v>25524566.753248133</v>
      </c>
      <c r="AK26" s="84">
        <f t="shared" si="5"/>
        <v>26220094.7860296</v>
      </c>
      <c r="AL26" s="84">
        <f t="shared" si="5"/>
        <v>28238754.731611561</v>
      </c>
      <c r="AM26" s="84">
        <f t="shared" si="5"/>
        <v>28522979.762254003</v>
      </c>
      <c r="AN26" s="84">
        <f t="shared" si="5"/>
        <v>28250859.473114949</v>
      </c>
      <c r="AO26" s="84">
        <f t="shared" si="5"/>
        <v>29636630.246136416</v>
      </c>
      <c r="AP26" s="84">
        <f t="shared" si="5"/>
        <v>29762506.682674695</v>
      </c>
      <c r="AQ26" s="84">
        <f t="shared" si="5"/>
        <v>30442743.866779421</v>
      </c>
      <c r="AR26" s="84">
        <f t="shared" si="5"/>
        <v>31095092.459820695</v>
      </c>
      <c r="AS26" s="84">
        <f t="shared" si="5"/>
        <v>31776076.041056477</v>
      </c>
      <c r="AT26" s="84">
        <f t="shared" si="5"/>
        <v>32142442.226155616</v>
      </c>
      <c r="AU26" s="84">
        <f t="shared" si="5"/>
        <v>31913117.109403417</v>
      </c>
      <c r="AV26" s="84">
        <f t="shared" si="5"/>
        <v>32114464.130045779</v>
      </c>
      <c r="AW26" s="84">
        <f t="shared" si="5"/>
        <v>31661362.360971894</v>
      </c>
      <c r="AX26" s="84">
        <f t="shared" si="5"/>
        <v>31985285.962849449</v>
      </c>
      <c r="AY26" s="84">
        <f t="shared" si="5"/>
        <v>30163080.674657699</v>
      </c>
      <c r="AZ26" s="84">
        <f t="shared" si="5"/>
        <v>26024816.869512998</v>
      </c>
      <c r="BA26" s="84">
        <f t="shared" si="5"/>
        <v>25947481.638389848</v>
      </c>
      <c r="BB26" s="84">
        <f>BB22*1000*215*0.00045359237</f>
        <v>23521417.899864499</v>
      </c>
      <c r="BC26" s="84">
        <f>BC22*1000*215*0.00045359237</f>
        <v>23521417.899864499</v>
      </c>
      <c r="BD26" s="81">
        <f>BD22*1000*215*0.00045359237</f>
        <v>18763301.977419998</v>
      </c>
      <c r="BE26" s="85">
        <f t="shared" si="4"/>
        <v>-0.20228865210000413</v>
      </c>
    </row>
    <row r="27" spans="1:61" s="84" customFormat="1" x14ac:dyDescent="0.25">
      <c r="A27" s="76">
        <v>7</v>
      </c>
      <c r="B27" s="84" t="s">
        <v>159</v>
      </c>
      <c r="C27" s="84">
        <f>C23*1000*120*0.00045359237</f>
        <v>3990637.0278565893</v>
      </c>
      <c r="D27" s="84">
        <f t="shared" ref="D27:BA27" si="6">D23*1000*120*0.00045359237</f>
        <v>4165045.9423752814</v>
      </c>
      <c r="E27" s="84">
        <f t="shared" si="6"/>
        <v>4615523.8090893449</v>
      </c>
      <c r="F27" s="84">
        <f t="shared" si="6"/>
        <v>4844569.6723566586</v>
      </c>
      <c r="G27" s="84">
        <f t="shared" si="6"/>
        <v>5130407.0490372758</v>
      </c>
      <c r="H27" s="84">
        <f t="shared" si="6"/>
        <v>5496396.2604349926</v>
      </c>
      <c r="I27" s="84">
        <f t="shared" si="6"/>
        <v>5596916.0447299397</v>
      </c>
      <c r="J27" s="84">
        <f t="shared" si="6"/>
        <v>6601768.9470113525</v>
      </c>
      <c r="K27" s="84">
        <f t="shared" si="6"/>
        <v>7059809.0059277331</v>
      </c>
      <c r="L27" s="84">
        <f t="shared" si="6"/>
        <v>8040543.4843695993</v>
      </c>
      <c r="M27" s="84">
        <f t="shared" si="6"/>
        <v>8686318.0467326175</v>
      </c>
      <c r="N27" s="84">
        <f t="shared" si="6"/>
        <v>8964226.1909782775</v>
      </c>
      <c r="O27" s="84">
        <f t="shared" si="6"/>
        <v>9813005.1055440754</v>
      </c>
      <c r="P27" s="84">
        <f t="shared" si="6"/>
        <v>9668561.4968991838</v>
      </c>
      <c r="Q27" s="84">
        <f t="shared" si="6"/>
        <v>9554910.7708670385</v>
      </c>
      <c r="R27" s="84">
        <f t="shared" si="6"/>
        <v>7721251.5706316838</v>
      </c>
      <c r="S27" s="84">
        <f t="shared" si="6"/>
        <v>8145195.6003886778</v>
      </c>
      <c r="T27" s="84">
        <f t="shared" si="6"/>
        <v>7357325.4932846306</v>
      </c>
      <c r="U27" s="84">
        <f t="shared" si="6"/>
        <v>7600862.4619608177</v>
      </c>
      <c r="V27" s="84">
        <f t="shared" si="6"/>
        <v>9777524.5792967267</v>
      </c>
      <c r="W27" s="84">
        <f t="shared" si="6"/>
        <v>8896713.0515752267</v>
      </c>
      <c r="X27" s="84">
        <f t="shared" si="6"/>
        <v>9674766.6078621317</v>
      </c>
      <c r="Y27" s="84">
        <f t="shared" si="6"/>
        <v>8754340.8341765013</v>
      </c>
      <c r="Z27" s="84">
        <f t="shared" si="6"/>
        <v>8093171.1771321399</v>
      </c>
      <c r="AA27" s="84">
        <f t="shared" si="6"/>
        <v>8879033.5566749554</v>
      </c>
      <c r="AB27" s="84">
        <f t="shared" si="6"/>
        <v>8489408.349037528</v>
      </c>
      <c r="AC27" s="84">
        <f t="shared" si="6"/>
        <v>8601868.6068353374</v>
      </c>
      <c r="AD27" s="84">
        <f t="shared" si="6"/>
        <v>9486425.2685848475</v>
      </c>
      <c r="AE27" s="84">
        <f t="shared" si="6"/>
        <v>9712323.6576625947</v>
      </c>
      <c r="AF27" s="84">
        <f t="shared" si="6"/>
        <v>10865268.855634147</v>
      </c>
      <c r="AG27" s="84">
        <f t="shared" si="6"/>
        <v>9829736.825174652</v>
      </c>
      <c r="AH27" s="84">
        <f t="shared" si="6"/>
        <v>9962778.5765806288</v>
      </c>
      <c r="AI27" s="84">
        <f t="shared" si="6"/>
        <v>10346932.279081326</v>
      </c>
      <c r="AJ27" s="84">
        <f t="shared" si="6"/>
        <v>10178195.974593963</v>
      </c>
      <c r="AK27" s="84">
        <f t="shared" si="6"/>
        <v>10451613.135257276</v>
      </c>
      <c r="AL27" s="84">
        <f t="shared" si="6"/>
        <v>10842756.60001809</v>
      </c>
      <c r="AM27" s="84">
        <f t="shared" si="6"/>
        <v>10980635.312586633</v>
      </c>
      <c r="AN27" s="84">
        <f t="shared" si="6"/>
        <v>11930860.974991951</v>
      </c>
      <c r="AO27" s="84">
        <f t="shared" si="6"/>
        <v>10643442.429309132</v>
      </c>
      <c r="AP27" s="84">
        <f t="shared" si="6"/>
        <v>11051665.076160721</v>
      </c>
      <c r="AQ27" s="84">
        <f t="shared" si="6"/>
        <v>11940013.712607916</v>
      </c>
      <c r="AR27" s="84">
        <f t="shared" si="6"/>
        <v>10068444.614700407</v>
      </c>
      <c r="AS27" s="84">
        <f t="shared" si="6"/>
        <v>11078808.813418493</v>
      </c>
      <c r="AT27" s="84">
        <f t="shared" si="6"/>
        <v>11131735.570153913</v>
      </c>
      <c r="AU27" s="84">
        <f t="shared" si="6"/>
        <v>10991233.495953005</v>
      </c>
      <c r="AV27" s="84">
        <f t="shared" si="6"/>
        <v>11551903.283403272</v>
      </c>
      <c r="AW27" s="84">
        <f t="shared" si="6"/>
        <v>10299528.274892908</v>
      </c>
      <c r="AX27" s="84">
        <f t="shared" si="6"/>
        <v>11359386.296689199</v>
      </c>
      <c r="AY27" s="84">
        <f t="shared" si="6"/>
        <v>11045754.3883764</v>
      </c>
      <c r="AZ27" s="84">
        <f t="shared" si="6"/>
        <v>11091966.379031999</v>
      </c>
      <c r="BA27" s="84">
        <f t="shared" si="6"/>
        <v>11852042.0415936</v>
      </c>
      <c r="BB27" s="84">
        <f>BB23*1000*120*0.00045359237</f>
        <v>10841039.079948001</v>
      </c>
      <c r="BC27" s="84">
        <f>BC23*1000*120*0.00045359237</f>
        <v>10841039.079948001</v>
      </c>
      <c r="BD27" s="81">
        <f>BD23*1000*120*0.00045359237</f>
        <v>11795215.98948</v>
      </c>
      <c r="BE27" s="85">
        <f t="shared" si="4"/>
        <v>8.8015263342872796E-2</v>
      </c>
    </row>
    <row r="28" spans="1:61" s="84" customFormat="1" x14ac:dyDescent="0.25">
      <c r="A28" s="76">
        <v>8</v>
      </c>
      <c r="B28" s="84" t="s">
        <v>160</v>
      </c>
      <c r="C28" s="84">
        <f>C24*1000*160*0.00045359237</f>
        <v>25640161.4679056</v>
      </c>
      <c r="D28" s="84">
        <f t="shared" ref="D28:BA28" si="7">D24*1000*160*0.00045359237</f>
        <v>25277142.422347199</v>
      </c>
      <c r="E28" s="84">
        <f t="shared" si="7"/>
        <v>26838008.1986016</v>
      </c>
      <c r="F28" s="84">
        <f t="shared" si="7"/>
        <v>27152765.015992001</v>
      </c>
      <c r="G28" s="84">
        <f t="shared" si="7"/>
        <v>28429645.6812368</v>
      </c>
      <c r="H28" s="84">
        <f t="shared" si="7"/>
        <v>29783673.336771198</v>
      </c>
      <c r="I28" s="84">
        <f t="shared" si="7"/>
        <v>31402308.6372688</v>
      </c>
      <c r="J28" s="84">
        <f t="shared" si="7"/>
        <v>29970625.967990398</v>
      </c>
      <c r="K28" s="84">
        <f t="shared" si="7"/>
        <v>31870778.837004799</v>
      </c>
      <c r="L28" s="84">
        <f t="shared" si="7"/>
        <v>33757215.072750397</v>
      </c>
      <c r="M28" s="84">
        <f t="shared" si="7"/>
        <v>38389372.929969601</v>
      </c>
      <c r="N28" s="84">
        <f t="shared" si="7"/>
        <v>42667365.8646928</v>
      </c>
      <c r="O28" s="84">
        <f t="shared" si="7"/>
        <v>47243495.9923696</v>
      </c>
      <c r="P28" s="84">
        <f t="shared" si="7"/>
        <v>50464437.2680448</v>
      </c>
      <c r="Q28" s="84">
        <f t="shared" si="7"/>
        <v>48752761.100612797</v>
      </c>
      <c r="R28" s="84">
        <f t="shared" si="7"/>
        <v>43090839.701324798</v>
      </c>
      <c r="S28" s="84">
        <f t="shared" si="7"/>
        <v>44083590.106001601</v>
      </c>
      <c r="T28" s="84">
        <f t="shared" si="7"/>
        <v>44838440.384460799</v>
      </c>
      <c r="U28" s="84">
        <f t="shared" si="7"/>
        <v>45544883.2851936</v>
      </c>
      <c r="V28" s="84">
        <f t="shared" si="7"/>
        <v>43617514.873979196</v>
      </c>
      <c r="W28" s="84">
        <f t="shared" si="7"/>
        <v>38687147.2490272</v>
      </c>
      <c r="X28" s="84">
        <f t="shared" si="7"/>
        <v>36049997.497236796</v>
      </c>
      <c r="Y28" s="84">
        <f t="shared" si="7"/>
        <v>34269593.013902396</v>
      </c>
      <c r="Z28" s="84">
        <f t="shared" si="7"/>
        <v>35295727.8170112</v>
      </c>
      <c r="AA28" s="84">
        <f t="shared" si="7"/>
        <v>37593880.775158398</v>
      </c>
      <c r="AB28" s="84">
        <f t="shared" si="7"/>
        <v>35175761.706993602</v>
      </c>
      <c r="AC28" s="84">
        <f t="shared" si="7"/>
        <v>35270616.943407997</v>
      </c>
      <c r="AD28" s="84">
        <f t="shared" si="7"/>
        <v>37470576.2252976</v>
      </c>
      <c r="AE28" s="84">
        <f t="shared" si="7"/>
        <v>38743102.403790399</v>
      </c>
      <c r="AF28" s="84">
        <f t="shared" si="7"/>
        <v>41506967.720063999</v>
      </c>
      <c r="AG28" s="84">
        <f t="shared" si="7"/>
        <v>36713984.1521376</v>
      </c>
      <c r="AH28" s="84">
        <f t="shared" si="7"/>
        <v>35753311.799867198</v>
      </c>
      <c r="AI28" s="84">
        <f t="shared" si="7"/>
        <v>35886776.818815999</v>
      </c>
      <c r="AJ28" s="84">
        <f t="shared" si="7"/>
        <v>37708766.650632001</v>
      </c>
      <c r="AK28" s="84">
        <f t="shared" si="7"/>
        <v>37862697.757315196</v>
      </c>
      <c r="AL28" s="84">
        <f t="shared" si="7"/>
        <v>35091502.388342395</v>
      </c>
      <c r="AM28" s="84">
        <f t="shared" si="7"/>
        <v>36524491.403646402</v>
      </c>
      <c r="AN28" s="84">
        <f t="shared" si="7"/>
        <v>37044779.995731197</v>
      </c>
      <c r="AO28" s="84">
        <f t="shared" si="7"/>
        <v>39459705.773611195</v>
      </c>
      <c r="AP28" s="84">
        <f t="shared" si="7"/>
        <v>41315442.877755202</v>
      </c>
      <c r="AQ28" s="84">
        <f t="shared" si="7"/>
        <v>39768511.459107198</v>
      </c>
      <c r="AR28" s="84">
        <f t="shared" si="7"/>
        <v>41164051.888343997</v>
      </c>
      <c r="AS28" s="84">
        <f t="shared" si="7"/>
        <v>39803927.951356798</v>
      </c>
      <c r="AT28" s="84">
        <f t="shared" si="7"/>
        <v>41480332.776097596</v>
      </c>
      <c r="AU28" s="84">
        <f t="shared" si="7"/>
        <v>43038150.411625601</v>
      </c>
      <c r="AV28" s="84">
        <f t="shared" si="7"/>
        <v>44409305.715051197</v>
      </c>
      <c r="AW28" s="84">
        <f t="shared" si="7"/>
        <v>40291122.444126397</v>
      </c>
      <c r="AX28" s="84">
        <f t="shared" si="7"/>
        <v>40257375.171798401</v>
      </c>
      <c r="AY28" s="84">
        <f t="shared" si="7"/>
        <v>38521386.453334399</v>
      </c>
      <c r="AZ28" s="84">
        <f t="shared" si="7"/>
        <v>39201702.433555201</v>
      </c>
      <c r="BA28" s="84">
        <f t="shared" si="7"/>
        <v>37592429.279574402</v>
      </c>
      <c r="BB28" s="84">
        <f>BB24*1000*160*0.00045359237</f>
        <v>36168512.111670397</v>
      </c>
      <c r="BC28" s="84">
        <f>BC24*1000*160*0.00045359237</f>
        <v>36168512.111670397</v>
      </c>
      <c r="BD28" s="81">
        <f>BD24*1000*160*0.00045359237</f>
        <v>35336659.992480002</v>
      </c>
      <c r="BE28" s="85">
        <f t="shared" si="4"/>
        <v>-2.2999345857027453E-2</v>
      </c>
    </row>
    <row r="29" spans="1:61" s="84" customFormat="1" x14ac:dyDescent="0.25">
      <c r="A29" s="76">
        <v>9</v>
      </c>
      <c r="B29" s="84" t="s">
        <v>147</v>
      </c>
      <c r="C29" s="84">
        <f>C25*1000*197*0.00045359237</f>
        <v>2130122.8594496953</v>
      </c>
      <c r="D29" s="84">
        <f t="shared" ref="D29:BA29" si="8">D25*1000*197*0.00045359237</f>
        <v>2108030.5592994071</v>
      </c>
      <c r="E29" s="84">
        <f t="shared" si="8"/>
        <v>2133682.8942203722</v>
      </c>
      <c r="F29" s="84">
        <f t="shared" si="8"/>
        <v>2259186.3942833315</v>
      </c>
      <c r="G29" s="84">
        <f t="shared" si="8"/>
        <v>2306090.4522228641</v>
      </c>
      <c r="H29" s="84">
        <f t="shared" si="8"/>
        <v>2421021.2568190349</v>
      </c>
      <c r="I29" s="84">
        <f t="shared" si="8"/>
        <v>2531983.8558759452</v>
      </c>
      <c r="J29" s="84">
        <f t="shared" si="8"/>
        <v>2630612.6416804101</v>
      </c>
      <c r="K29" s="84">
        <f t="shared" si="8"/>
        <v>2772267.7867220188</v>
      </c>
      <c r="L29" s="84">
        <f t="shared" si="8"/>
        <v>2798807.046824927</v>
      </c>
      <c r="M29" s="84">
        <f t="shared" si="8"/>
        <v>2839109.620829856</v>
      </c>
      <c r="N29" s="84">
        <f t="shared" si="8"/>
        <v>2742127.9663457414</v>
      </c>
      <c r="O29" s="84">
        <f t="shared" si="8"/>
        <v>2897836.5750926342</v>
      </c>
      <c r="P29" s="84">
        <f t="shared" si="8"/>
        <v>2910344.8038464854</v>
      </c>
      <c r="Q29" s="84">
        <f t="shared" si="8"/>
        <v>2843311.2465449325</v>
      </c>
      <c r="R29" s="84">
        <f t="shared" si="8"/>
        <v>2840219.3433446088</v>
      </c>
      <c r="S29" s="84">
        <f t="shared" si="8"/>
        <v>3101562.0122848544</v>
      </c>
      <c r="T29" s="84">
        <f t="shared" si="8"/>
        <v>3441642.3570248839</v>
      </c>
      <c r="U29" s="84">
        <f t="shared" si="8"/>
        <v>3687976.7243346884</v>
      </c>
      <c r="V29" s="84">
        <f t="shared" si="8"/>
        <v>3899993.5156747079</v>
      </c>
      <c r="W29" s="84">
        <f t="shared" si="8"/>
        <v>2916118.4074845202</v>
      </c>
      <c r="X29" s="84">
        <f t="shared" si="8"/>
        <v>2722770.6068425477</v>
      </c>
      <c r="Y29" s="84">
        <f t="shared" si="8"/>
        <v>3358067.9331692993</v>
      </c>
      <c r="Z29" s="84">
        <f t="shared" si="8"/>
        <v>2994492.3384818826</v>
      </c>
      <c r="AA29" s="84">
        <f t="shared" si="8"/>
        <v>3482530.1113537434</v>
      </c>
      <c r="AB29" s="84">
        <f t="shared" si="8"/>
        <v>3505334.7665957548</v>
      </c>
      <c r="AC29" s="84">
        <f t="shared" si="8"/>
        <v>3131813.3376631956</v>
      </c>
      <c r="AD29" s="84">
        <f t="shared" si="8"/>
        <v>2766281.4536828827</v>
      </c>
      <c r="AE29" s="84">
        <f t="shared" si="8"/>
        <v>2907318.2568656672</v>
      </c>
      <c r="AF29" s="84">
        <f t="shared" si="8"/>
        <v>3290737.7869488443</v>
      </c>
      <c r="AG29" s="84">
        <f t="shared" si="8"/>
        <v>2369698.2641813587</v>
      </c>
      <c r="AH29" s="84">
        <f t="shared" si="8"/>
        <v>2400964.3802444316</v>
      </c>
      <c r="AI29" s="84">
        <f t="shared" si="8"/>
        <v>2472698.9932583263</v>
      </c>
      <c r="AJ29" s="84">
        <f t="shared" si="8"/>
        <v>2861990.9556987225</v>
      </c>
      <c r="AK29" s="84">
        <f t="shared" si="8"/>
        <v>2870640.7307173638</v>
      </c>
      <c r="AL29" s="84">
        <f t="shared" si="8"/>
        <v>3288469.0718724271</v>
      </c>
      <c r="AM29" s="84">
        <f t="shared" si="8"/>
        <v>3614577.5016349317</v>
      </c>
      <c r="AN29" s="84">
        <f t="shared" si="8"/>
        <v>3265756.5426287553</v>
      </c>
      <c r="AO29" s="84">
        <f t="shared" si="8"/>
        <v>3088025.0744914035</v>
      </c>
      <c r="AP29" s="84">
        <f t="shared" si="8"/>
        <v>3212141.13010483</v>
      </c>
      <c r="AQ29" s="84">
        <f t="shared" si="8"/>
        <v>3221255.61518761</v>
      </c>
      <c r="AR29" s="84">
        <f t="shared" si="8"/>
        <v>1862584.2109097564</v>
      </c>
      <c r="AS29" s="84">
        <f t="shared" si="8"/>
        <v>1874938.3038915109</v>
      </c>
      <c r="AT29" s="84">
        <f t="shared" si="8"/>
        <v>2422429.8817234626</v>
      </c>
      <c r="AU29" s="84">
        <f t="shared" si="8"/>
        <v>2505910.639054013</v>
      </c>
      <c r="AV29" s="84">
        <f t="shared" si="8"/>
        <v>2350822.2897821199</v>
      </c>
      <c r="AW29" s="84">
        <f t="shared" si="8"/>
        <v>2178361.9347844198</v>
      </c>
      <c r="AX29" s="84">
        <f t="shared" si="8"/>
        <v>2153431.1373521099</v>
      </c>
      <c r="AY29" s="84">
        <f t="shared" si="8"/>
        <v>2209726.48639281</v>
      </c>
      <c r="AZ29" s="84">
        <f t="shared" si="8"/>
        <v>2623273.90759973</v>
      </c>
      <c r="BA29" s="84">
        <f t="shared" si="8"/>
        <v>2551519.67699706</v>
      </c>
      <c r="BB29" s="84">
        <f>BB25*1000*197*0.00045359237</f>
        <v>2561885.1698363</v>
      </c>
      <c r="BC29" s="84">
        <f>BC25*1000*197*0.00045359237</f>
        <v>2561885.1698363</v>
      </c>
      <c r="BD29" s="81">
        <f>BD25*1000*197*0.00045359237</f>
        <v>2564565.9007429997</v>
      </c>
      <c r="BE29" s="85">
        <f t="shared" si="4"/>
        <v>1.0463899546564459E-3</v>
      </c>
    </row>
    <row r="30" spans="1:61" s="84" customFormat="1" x14ac:dyDescent="0.25">
      <c r="A30" s="76">
        <v>10</v>
      </c>
      <c r="B30" s="84" t="s">
        <v>148</v>
      </c>
      <c r="C30" s="84">
        <f>SUM(C26:C29)</f>
        <v>53856175.163480811</v>
      </c>
      <c r="D30" s="84">
        <f t="shared" ref="D30:BA30" si="9">SUM(D26:D29)</f>
        <v>54001263.074876629</v>
      </c>
      <c r="E30" s="84">
        <f t="shared" si="9"/>
        <v>58193097.672568567</v>
      </c>
      <c r="F30" s="84">
        <f t="shared" si="9"/>
        <v>61107133.155055173</v>
      </c>
      <c r="G30" s="84">
        <f t="shared" si="9"/>
        <v>65184221.360270254</v>
      </c>
      <c r="H30" s="84">
        <f t="shared" si="9"/>
        <v>69629229.563598126</v>
      </c>
      <c r="I30" s="84">
        <f t="shared" si="9"/>
        <v>72595782.246875733</v>
      </c>
      <c r="J30" s="84">
        <f t="shared" si="9"/>
        <v>73405574.773840234</v>
      </c>
      <c r="K30" s="84">
        <f t="shared" si="9"/>
        <v>77083510.340363771</v>
      </c>
      <c r="L30" s="84">
        <f t="shared" si="9"/>
        <v>79255731.035928458</v>
      </c>
      <c r="M30" s="84">
        <f t="shared" si="9"/>
        <v>80272715.100162476</v>
      </c>
      <c r="N30" s="84">
        <f t="shared" si="9"/>
        <v>81090266.268470153</v>
      </c>
      <c r="O30" s="84">
        <f t="shared" si="9"/>
        <v>82035450.689404085</v>
      </c>
      <c r="P30" s="84">
        <f t="shared" si="9"/>
        <v>88083288.26726532</v>
      </c>
      <c r="Q30" s="84">
        <f t="shared" si="9"/>
        <v>82363091.666508928</v>
      </c>
      <c r="R30" s="84">
        <f t="shared" si="9"/>
        <v>72879863.227163777</v>
      </c>
      <c r="S30" s="84">
        <f t="shared" si="9"/>
        <v>79254340.001839638</v>
      </c>
      <c r="T30" s="84">
        <f t="shared" si="9"/>
        <v>74140096.112295896</v>
      </c>
      <c r="U30" s="84">
        <f t="shared" si="9"/>
        <v>77286127.518838242</v>
      </c>
      <c r="V30" s="84">
        <f t="shared" si="9"/>
        <v>80769585.12874423</v>
      </c>
      <c r="W30" s="84">
        <f t="shared" si="9"/>
        <v>73486973.296463341</v>
      </c>
      <c r="X30" s="84">
        <f t="shared" si="9"/>
        <v>68963132.654763669</v>
      </c>
      <c r="Y30" s="84">
        <f t="shared" si="9"/>
        <v>67569288.461895362</v>
      </c>
      <c r="Z30" s="84">
        <f t="shared" si="9"/>
        <v>69067091.521282881</v>
      </c>
      <c r="AA30" s="84">
        <f t="shared" si="9"/>
        <v>76301848.082822889</v>
      </c>
      <c r="AB30" s="84">
        <f t="shared" si="9"/>
        <v>72156751.667815298</v>
      </c>
      <c r="AC30" s="84">
        <f t="shared" si="9"/>
        <v>73827033.560932234</v>
      </c>
      <c r="AD30" s="84">
        <f t="shared" si="9"/>
        <v>77897581.718963236</v>
      </c>
      <c r="AE30" s="84">
        <f t="shared" si="9"/>
        <v>80738182.035065576</v>
      </c>
      <c r="AF30" s="84">
        <f t="shared" si="9"/>
        <v>84508635.24608238</v>
      </c>
      <c r="AG30" s="84">
        <f t="shared" si="9"/>
        <v>76851864.818631932</v>
      </c>
      <c r="AH30" s="84">
        <f t="shared" si="9"/>
        <v>74912432.090732932</v>
      </c>
      <c r="AI30" s="84">
        <f t="shared" si="9"/>
        <v>72842462.514033645</v>
      </c>
      <c r="AJ30" s="84">
        <f t="shared" si="9"/>
        <v>76273520.334172815</v>
      </c>
      <c r="AK30" s="84">
        <f t="shared" si="9"/>
        <v>77405046.409319431</v>
      </c>
      <c r="AL30" s="84">
        <f t="shared" si="9"/>
        <v>77461482.791844472</v>
      </c>
      <c r="AM30" s="84">
        <f t="shared" si="9"/>
        <v>79642683.98012197</v>
      </c>
      <c r="AN30" s="84">
        <f t="shared" si="9"/>
        <v>80492256.98646684</v>
      </c>
      <c r="AO30" s="84">
        <f t="shared" si="9"/>
        <v>82827803.523548141</v>
      </c>
      <c r="AP30" s="84">
        <f t="shared" si="9"/>
        <v>85341755.766695455</v>
      </c>
      <c r="AQ30" s="84">
        <f t="shared" si="9"/>
        <v>85372524.653682142</v>
      </c>
      <c r="AR30" s="84">
        <f t="shared" si="9"/>
        <v>84190173.173774853</v>
      </c>
      <c r="AS30" s="84">
        <f t="shared" si="9"/>
        <v>84533751.10972327</v>
      </c>
      <c r="AT30" s="84">
        <f t="shared" si="9"/>
        <v>87176940.45413059</v>
      </c>
      <c r="AU30" s="84">
        <f t="shared" si="9"/>
        <v>88448411.656036034</v>
      </c>
      <c r="AV30" s="84">
        <f t="shared" si="9"/>
        <v>90426495.418282375</v>
      </c>
      <c r="AW30" s="84">
        <f t="shared" si="9"/>
        <v>84430375.014775604</v>
      </c>
      <c r="AX30" s="84">
        <f t="shared" si="9"/>
        <v>85755478.568689167</v>
      </c>
      <c r="AY30" s="84">
        <f t="shared" si="9"/>
        <v>81939948.002761319</v>
      </c>
      <c r="AZ30" s="84">
        <f t="shared" si="9"/>
        <v>78941759.589699939</v>
      </c>
      <c r="BA30" s="84">
        <f t="shared" si="9"/>
        <v>77943472.636554927</v>
      </c>
      <c r="BB30" s="84">
        <f>SUM(BB26:BB29)</f>
        <v>73092854.261319205</v>
      </c>
      <c r="BC30" s="84">
        <f>SUM(BC26:BC29)</f>
        <v>73092854.261319205</v>
      </c>
      <c r="BD30" s="86">
        <f>SUM(BD26:BD29)</f>
        <v>68459743.860122994</v>
      </c>
      <c r="BE30" s="85">
        <f t="shared" si="4"/>
        <v>-6.3386639474114159E-2</v>
      </c>
    </row>
    <row r="31" spans="1:61" s="23" customFormat="1" x14ac:dyDescent="0.25">
      <c r="A31" s="65">
        <v>11</v>
      </c>
      <c r="B31" s="23" t="s">
        <v>161</v>
      </c>
      <c r="C31" s="87">
        <v>0</v>
      </c>
      <c r="D31" s="87">
        <v>0</v>
      </c>
      <c r="E31" s="87">
        <v>0</v>
      </c>
      <c r="F31" s="87">
        <v>0</v>
      </c>
      <c r="G31" s="87">
        <v>0</v>
      </c>
      <c r="H31" s="87">
        <f>G31+$AU$31/40</f>
        <v>0.74024999999999996</v>
      </c>
      <c r="I31" s="87">
        <f t="shared" ref="I31:AS31" si="10">H31+$AU$31/40</f>
        <v>1.4804999999999999</v>
      </c>
      <c r="J31" s="87">
        <f t="shared" si="10"/>
        <v>2.2207499999999998</v>
      </c>
      <c r="K31" s="87">
        <f t="shared" si="10"/>
        <v>2.9609999999999999</v>
      </c>
      <c r="L31" s="87">
        <f t="shared" si="10"/>
        <v>3.7012499999999999</v>
      </c>
      <c r="M31" s="87">
        <f t="shared" si="10"/>
        <v>4.4414999999999996</v>
      </c>
      <c r="N31" s="87">
        <f t="shared" si="10"/>
        <v>5.1817499999999992</v>
      </c>
      <c r="O31" s="87">
        <f t="shared" si="10"/>
        <v>5.9219999999999988</v>
      </c>
      <c r="P31" s="87">
        <f t="shared" si="10"/>
        <v>6.6622499999999985</v>
      </c>
      <c r="Q31" s="87">
        <f t="shared" si="10"/>
        <v>7.4024999999999981</v>
      </c>
      <c r="R31" s="87">
        <f t="shared" si="10"/>
        <v>8.1427499999999977</v>
      </c>
      <c r="S31" s="87">
        <f t="shared" si="10"/>
        <v>8.8829999999999973</v>
      </c>
      <c r="T31" s="87">
        <f t="shared" si="10"/>
        <v>9.623249999999997</v>
      </c>
      <c r="U31" s="87">
        <f t="shared" si="10"/>
        <v>10.363499999999997</v>
      </c>
      <c r="V31" s="87">
        <f t="shared" si="10"/>
        <v>11.103749999999996</v>
      </c>
      <c r="W31" s="87">
        <f t="shared" si="10"/>
        <v>11.843999999999996</v>
      </c>
      <c r="X31" s="87">
        <f t="shared" si="10"/>
        <v>12.584249999999995</v>
      </c>
      <c r="Y31" s="87">
        <f t="shared" si="10"/>
        <v>13.324499999999995</v>
      </c>
      <c r="Z31" s="87">
        <f t="shared" si="10"/>
        <v>14.064749999999995</v>
      </c>
      <c r="AA31" s="87">
        <f t="shared" si="10"/>
        <v>14.804999999999994</v>
      </c>
      <c r="AB31" s="87">
        <f t="shared" si="10"/>
        <v>15.545249999999994</v>
      </c>
      <c r="AC31" s="87">
        <f t="shared" si="10"/>
        <v>16.285499999999995</v>
      </c>
      <c r="AD31" s="87">
        <f t="shared" si="10"/>
        <v>17.025749999999995</v>
      </c>
      <c r="AE31" s="87">
        <f t="shared" si="10"/>
        <v>17.765999999999995</v>
      </c>
      <c r="AF31" s="87">
        <f t="shared" si="10"/>
        <v>18.506249999999994</v>
      </c>
      <c r="AG31" s="87">
        <f t="shared" si="10"/>
        <v>19.246499999999994</v>
      </c>
      <c r="AH31" s="87">
        <f t="shared" si="10"/>
        <v>19.986749999999994</v>
      </c>
      <c r="AI31" s="87">
        <f t="shared" si="10"/>
        <v>20.726999999999993</v>
      </c>
      <c r="AJ31" s="87">
        <f t="shared" si="10"/>
        <v>21.467249999999993</v>
      </c>
      <c r="AK31" s="87">
        <f t="shared" si="10"/>
        <v>22.207499999999992</v>
      </c>
      <c r="AL31" s="87">
        <f t="shared" si="10"/>
        <v>22.947749999999992</v>
      </c>
      <c r="AM31" s="87">
        <f t="shared" si="10"/>
        <v>23.687999999999992</v>
      </c>
      <c r="AN31" s="87">
        <f t="shared" si="10"/>
        <v>24.428249999999991</v>
      </c>
      <c r="AO31" s="87">
        <f t="shared" si="10"/>
        <v>25.168499999999991</v>
      </c>
      <c r="AP31" s="87">
        <f t="shared" si="10"/>
        <v>25.908749999999991</v>
      </c>
      <c r="AQ31" s="87">
        <f t="shared" si="10"/>
        <v>26.64899999999999</v>
      </c>
      <c r="AR31" s="87">
        <f t="shared" si="10"/>
        <v>27.38924999999999</v>
      </c>
      <c r="AS31" s="87">
        <f t="shared" si="10"/>
        <v>28.12949999999999</v>
      </c>
      <c r="AT31" s="87">
        <f>AS31+$AU$31/40</f>
        <v>28.869749999999989</v>
      </c>
      <c r="AU31" s="87">
        <v>29.61</v>
      </c>
      <c r="AV31" s="87">
        <f t="shared" ref="AV31:BD31" si="11">AU31+(AU31-AT31)</f>
        <v>30.35025000000001</v>
      </c>
      <c r="AW31" s="87">
        <f t="shared" si="11"/>
        <v>31.09050000000002</v>
      </c>
      <c r="AX31" s="87">
        <f t="shared" si="11"/>
        <v>31.83075000000003</v>
      </c>
      <c r="AY31" s="87">
        <f t="shared" si="11"/>
        <v>32.571000000000041</v>
      </c>
      <c r="AZ31" s="87">
        <f t="shared" si="11"/>
        <v>33.311250000000051</v>
      </c>
      <c r="BA31" s="87">
        <f t="shared" si="11"/>
        <v>34.051500000000061</v>
      </c>
      <c r="BB31" s="87">
        <f t="shared" si="11"/>
        <v>34.791750000000071</v>
      </c>
      <c r="BC31" s="87">
        <f t="shared" si="11"/>
        <v>35.532000000000082</v>
      </c>
      <c r="BD31" s="87">
        <f t="shared" si="11"/>
        <v>36.272250000000092</v>
      </c>
    </row>
    <row r="32" spans="1:61" x14ac:dyDescent="0.25">
      <c r="B32" s="150"/>
      <c r="C32" s="150"/>
      <c r="D32" s="150"/>
      <c r="E32" s="150"/>
      <c r="F32" s="150"/>
      <c r="G32" s="150"/>
      <c r="H32" s="150"/>
      <c r="AG32" s="88"/>
      <c r="AH32" s="88"/>
      <c r="AI32" s="88"/>
      <c r="AJ32" s="88"/>
      <c r="AK32" s="88"/>
      <c r="AL32" s="88"/>
      <c r="AM32" s="88"/>
      <c r="AN32" s="88"/>
      <c r="AO32" s="88"/>
      <c r="AP32" s="88"/>
      <c r="AQ32" s="88"/>
      <c r="AR32" s="88"/>
      <c r="AS32" s="88"/>
      <c r="AT32" s="88"/>
      <c r="AU32" s="88"/>
      <c r="AV32" s="88"/>
      <c r="AW32" s="88"/>
      <c r="AX32" s="89"/>
    </row>
    <row r="33" spans="1:2" x14ac:dyDescent="0.25">
      <c r="B33" s="7" t="s">
        <v>162</v>
      </c>
    </row>
    <row r="34" spans="1:2" x14ac:dyDescent="0.25">
      <c r="A34" s="130" t="s">
        <v>11</v>
      </c>
      <c r="B34" s="130"/>
    </row>
    <row r="35" spans="1:2" x14ac:dyDescent="0.25">
      <c r="A35" s="7">
        <v>1</v>
      </c>
      <c r="B35" s="7" t="s">
        <v>149</v>
      </c>
    </row>
    <row r="36" spans="1:2" x14ac:dyDescent="0.25">
      <c r="A36" s="7">
        <v>2</v>
      </c>
      <c r="B36" s="7" t="s">
        <v>163</v>
      </c>
    </row>
    <row r="37" spans="1:2" x14ac:dyDescent="0.25">
      <c r="A37" s="7">
        <v>3</v>
      </c>
      <c r="B37" s="7" t="s">
        <v>163</v>
      </c>
    </row>
    <row r="38" spans="1:2" x14ac:dyDescent="0.25">
      <c r="A38" s="7">
        <v>4</v>
      </c>
      <c r="B38" s="7" t="s">
        <v>163</v>
      </c>
    </row>
    <row r="39" spans="1:2" x14ac:dyDescent="0.25">
      <c r="A39" s="7">
        <v>5</v>
      </c>
      <c r="B39" s="7" t="s">
        <v>163</v>
      </c>
    </row>
    <row r="40" spans="1:2" x14ac:dyDescent="0.25">
      <c r="A40" s="7">
        <v>6</v>
      </c>
      <c r="B40" s="7" t="s">
        <v>164</v>
      </c>
    </row>
    <row r="41" spans="1:2" x14ac:dyDescent="0.25">
      <c r="A41" s="7">
        <v>7</v>
      </c>
      <c r="B41" s="7" t="s">
        <v>164</v>
      </c>
    </row>
    <row r="42" spans="1:2" x14ac:dyDescent="0.25">
      <c r="A42" s="7">
        <v>8</v>
      </c>
      <c r="B42" s="7" t="s">
        <v>164</v>
      </c>
    </row>
    <row r="43" spans="1:2" x14ac:dyDescent="0.25">
      <c r="A43" s="7">
        <v>9</v>
      </c>
      <c r="B43" s="7" t="s">
        <v>164</v>
      </c>
    </row>
    <row r="44" spans="1:2" x14ac:dyDescent="0.25">
      <c r="A44" s="7">
        <v>10</v>
      </c>
      <c r="B44" s="7" t="s">
        <v>151</v>
      </c>
    </row>
    <row r="45" spans="1:2" x14ac:dyDescent="0.25">
      <c r="A45" s="7">
        <v>11</v>
      </c>
      <c r="B45" s="7" t="s">
        <v>165</v>
      </c>
    </row>
    <row r="48" spans="1:2" x14ac:dyDescent="0.25">
      <c r="A48" s="135" t="s">
        <v>118</v>
      </c>
      <c r="B48" s="135"/>
    </row>
    <row r="49" spans="1:11" ht="14" x14ac:dyDescent="0.3">
      <c r="A49" s="133" t="s">
        <v>166</v>
      </c>
      <c r="B49" s="134"/>
      <c r="C49" s="134"/>
      <c r="D49" s="134"/>
      <c r="E49" s="134"/>
      <c r="F49" s="134"/>
      <c r="G49" s="19"/>
      <c r="H49" s="19"/>
      <c r="I49" s="19"/>
      <c r="J49" s="19"/>
    </row>
    <row r="52" spans="1:11" ht="14" x14ac:dyDescent="0.3">
      <c r="A52" s="135" t="s">
        <v>18</v>
      </c>
      <c r="B52" s="146"/>
    </row>
    <row r="53" spans="1:11" ht="321.75" customHeight="1" x14ac:dyDescent="0.25">
      <c r="A53" s="147" t="s">
        <v>167</v>
      </c>
      <c r="B53" s="129"/>
      <c r="C53" s="129"/>
      <c r="D53" s="129"/>
      <c r="E53" s="129"/>
      <c r="F53" s="148"/>
      <c r="G53" s="142"/>
      <c r="H53" s="142"/>
      <c r="I53" s="142"/>
      <c r="J53" s="15"/>
      <c r="K53" s="15"/>
    </row>
    <row r="56" spans="1:11" ht="14" x14ac:dyDescent="0.3">
      <c r="A56" s="135" t="s">
        <v>21</v>
      </c>
      <c r="B56" s="136"/>
    </row>
    <row r="57" spans="1:11" ht="78" customHeight="1" x14ac:dyDescent="0.25">
      <c r="A57" s="149" t="s">
        <v>168</v>
      </c>
      <c r="B57" s="129"/>
      <c r="C57" s="129"/>
      <c r="D57" s="129"/>
      <c r="E57" s="129"/>
      <c r="F57" s="129"/>
      <c r="G57" s="15"/>
      <c r="H57" s="15"/>
      <c r="I57" s="15"/>
      <c r="J57" s="15"/>
      <c r="K57" s="15"/>
    </row>
    <row r="59" spans="1:11" ht="14" x14ac:dyDescent="0.3">
      <c r="A59" s="135" t="s">
        <v>22</v>
      </c>
      <c r="B59" s="136"/>
    </row>
    <row r="60" spans="1:11" ht="110" customHeight="1" x14ac:dyDescent="0.25">
      <c r="A60" s="129"/>
      <c r="B60" s="129"/>
      <c r="C60" s="129"/>
      <c r="D60" s="129"/>
      <c r="E60" s="129"/>
      <c r="F60" s="129"/>
      <c r="G60" s="129"/>
      <c r="H60" s="129"/>
      <c r="I60" s="129"/>
      <c r="J60" s="129"/>
      <c r="K60" s="129"/>
    </row>
    <row r="62" spans="1:11" customFormat="1" x14ac:dyDescent="0.3"/>
    <row r="63" spans="1:11" customFormat="1" x14ac:dyDescent="0.3">
      <c r="C63" s="90" t="s">
        <v>169</v>
      </c>
      <c r="D63">
        <f>99/2</f>
        <v>49.5</v>
      </c>
      <c r="E63">
        <f>D63*0.83</f>
        <v>41.085000000000001</v>
      </c>
    </row>
    <row r="64" spans="1:11" customFormat="1" ht="107" customHeight="1" x14ac:dyDescent="0.3"/>
    <row r="65" customFormat="1" x14ac:dyDescent="0.3"/>
    <row r="66" customFormat="1" x14ac:dyDescent="0.3"/>
    <row r="67" customFormat="1" ht="15.75" customHeight="1" x14ac:dyDescent="0.3"/>
    <row r="68" customFormat="1" x14ac:dyDescent="0.3"/>
    <row r="69" customFormat="1" x14ac:dyDescent="0.3"/>
    <row r="70" customFormat="1" x14ac:dyDescent="0.3"/>
  </sheetData>
  <mergeCells count="13">
    <mergeCell ref="A49:F49"/>
    <mergeCell ref="A10:B10"/>
    <mergeCell ref="A20:B20"/>
    <mergeCell ref="B32:H32"/>
    <mergeCell ref="A34:B34"/>
    <mergeCell ref="A48:B48"/>
    <mergeCell ref="A60:K60"/>
    <mergeCell ref="A52:B52"/>
    <mergeCell ref="A53:F53"/>
    <mergeCell ref="G53:I53"/>
    <mergeCell ref="A56:B56"/>
    <mergeCell ref="A57:F57"/>
    <mergeCell ref="A59:B59"/>
  </mergeCells>
  <hyperlinks>
    <hyperlink ref="A57" r:id="rId1"/>
  </hyperlinks>
  <pageMargins left="0.75000000000000011" right="0.75000000000000011" top="1" bottom="1" header="0.5" footer="0.5"/>
  <pageSetup orientation="portrait" r:id="rId2"/>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0"/>
  <sheetViews>
    <sheetView zoomScale="80" zoomScaleNormal="80" workbookViewId="0">
      <pane xSplit="2" ySplit="2" topLeftCell="BB12" activePane="bottomRight" state="frozen"/>
      <selection activeCell="AV27" sqref="AV27"/>
      <selection pane="topRight" activeCell="AV27" sqref="AV27"/>
      <selection pane="bottomLeft" activeCell="AV27" sqref="AV27"/>
      <selection pane="bottomRight" activeCell="BB30" sqref="BB30"/>
    </sheetView>
  </sheetViews>
  <sheetFormatPr defaultColWidth="8.69140625" defaultRowHeight="13.5" x14ac:dyDescent="0.25"/>
  <cols>
    <col min="1" max="1" width="10.53515625" style="7" customWidth="1"/>
    <col min="2" max="2" width="89.921875" style="7" customWidth="1"/>
    <col min="3" max="3" width="19.3828125" style="7" customWidth="1"/>
    <col min="4" max="4" width="13.15234375" style="7" customWidth="1"/>
    <col min="5" max="5" width="18.84375" style="7" customWidth="1"/>
    <col min="6" max="19" width="15.84375" style="7" customWidth="1"/>
    <col min="20" max="57" width="17.15234375" style="7" customWidth="1"/>
    <col min="58" max="60" width="15" style="7" customWidth="1"/>
    <col min="61" max="61" width="4.84375" style="7" customWidth="1"/>
    <col min="62" max="16384" width="8.69140625" style="7"/>
  </cols>
  <sheetData>
    <row r="1" spans="1:61" ht="18" thickBot="1" x14ac:dyDescent="0.4">
      <c r="A1" s="1" t="s">
        <v>170</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spans="1:61" s="4" customFormat="1" ht="14" thickTop="1" x14ac:dyDescent="0.25">
      <c r="B2" s="5" t="s">
        <v>1</v>
      </c>
      <c r="C2" s="4">
        <v>1960</v>
      </c>
      <c r="D2" s="4">
        <v>1961</v>
      </c>
      <c r="E2" s="4">
        <v>1962</v>
      </c>
      <c r="F2" s="4">
        <v>1963</v>
      </c>
      <c r="G2" s="4">
        <v>1964</v>
      </c>
      <c r="H2" s="4">
        <v>1965</v>
      </c>
      <c r="I2" s="4">
        <v>1966</v>
      </c>
      <c r="J2" s="4">
        <v>1967</v>
      </c>
      <c r="K2" s="4">
        <v>1968</v>
      </c>
      <c r="L2" s="4">
        <v>1969</v>
      </c>
      <c r="M2" s="4">
        <v>1970</v>
      </c>
      <c r="N2" s="4">
        <v>1971</v>
      </c>
      <c r="O2" s="4">
        <v>1972</v>
      </c>
      <c r="P2" s="4">
        <v>1973</v>
      </c>
      <c r="Q2" s="4">
        <v>1974</v>
      </c>
      <c r="R2" s="4">
        <v>1975</v>
      </c>
      <c r="S2" s="4">
        <v>1976</v>
      </c>
      <c r="T2" s="4">
        <v>1977</v>
      </c>
      <c r="U2" s="4">
        <v>1978</v>
      </c>
      <c r="V2" s="4">
        <v>1979</v>
      </c>
      <c r="W2" s="4">
        <v>1980</v>
      </c>
      <c r="X2" s="4">
        <v>1981</v>
      </c>
      <c r="Y2" s="4">
        <v>1982</v>
      </c>
      <c r="Z2" s="4">
        <v>1983</v>
      </c>
      <c r="AA2" s="4">
        <v>1984</v>
      </c>
      <c r="AB2" s="4">
        <v>1985</v>
      </c>
      <c r="AC2" s="4">
        <v>1986</v>
      </c>
      <c r="AD2" s="4">
        <v>1987</v>
      </c>
      <c r="AE2" s="4">
        <v>1988</v>
      </c>
      <c r="AF2" s="4">
        <v>1989</v>
      </c>
      <c r="AG2" s="4">
        <v>1990</v>
      </c>
      <c r="AH2" s="4">
        <v>1991</v>
      </c>
      <c r="AI2" s="4">
        <v>1992</v>
      </c>
      <c r="AJ2" s="4">
        <v>1993</v>
      </c>
      <c r="AK2" s="4">
        <v>1994</v>
      </c>
      <c r="AL2" s="4">
        <v>1995</v>
      </c>
      <c r="AM2" s="4">
        <v>1996</v>
      </c>
      <c r="AN2" s="4">
        <v>1997</v>
      </c>
      <c r="AO2" s="4">
        <v>1998</v>
      </c>
      <c r="AP2" s="4">
        <v>1999</v>
      </c>
      <c r="AQ2" s="4">
        <v>2000</v>
      </c>
      <c r="AR2" s="4">
        <v>2001</v>
      </c>
      <c r="AS2" s="4">
        <v>2002</v>
      </c>
      <c r="AT2" s="4">
        <v>2003</v>
      </c>
      <c r="AU2" s="4">
        <v>2004</v>
      </c>
      <c r="AV2" s="4">
        <v>2005</v>
      </c>
      <c r="AW2" s="4">
        <v>2006</v>
      </c>
      <c r="AX2" s="4">
        <v>2007</v>
      </c>
      <c r="AY2" s="4">
        <v>2008</v>
      </c>
      <c r="AZ2" s="4">
        <v>2009</v>
      </c>
      <c r="BA2" s="4">
        <v>2010</v>
      </c>
      <c r="BB2" s="4">
        <v>2011</v>
      </c>
      <c r="BC2" s="4">
        <v>2012</v>
      </c>
      <c r="BD2" s="4">
        <v>2013</v>
      </c>
    </row>
    <row r="3" spans="1:61" s="21" customFormat="1" x14ac:dyDescent="0.25">
      <c r="A3" s="9">
        <v>1</v>
      </c>
      <c r="B3" s="21" t="s">
        <v>171</v>
      </c>
      <c r="C3" s="21">
        <v>0.17919422596874984</v>
      </c>
      <c r="D3" s="21">
        <v>0.30655002150350319</v>
      </c>
      <c r="E3" s="21">
        <v>0.45445292648146762</v>
      </c>
      <c r="F3" s="21">
        <v>0.48846344891725935</v>
      </c>
      <c r="G3" s="21">
        <v>1.4294545283992308</v>
      </c>
      <c r="H3" s="21">
        <v>1.6473034384440794</v>
      </c>
      <c r="I3" s="21">
        <v>1.8717498473748473</v>
      </c>
      <c r="J3" s="21">
        <v>2.0988393755787271</v>
      </c>
      <c r="K3" s="21">
        <v>2.3434842505953983</v>
      </c>
      <c r="L3" s="21">
        <v>2.6201183163358444</v>
      </c>
      <c r="M3" s="21">
        <v>2.9292407779490079</v>
      </c>
      <c r="N3" s="21">
        <v>3.278080910715059</v>
      </c>
      <c r="O3" s="21">
        <v>3.6448126214887377</v>
      </c>
      <c r="P3" s="21">
        <v>4.024339692981421</v>
      </c>
      <c r="Q3" s="21">
        <v>4.3999380886025046</v>
      </c>
      <c r="R3" s="21">
        <v>4.6941361188667106</v>
      </c>
      <c r="S3" s="21">
        <v>4.9685966931914605</v>
      </c>
      <c r="T3" s="21">
        <v>5.2098729107923667</v>
      </c>
      <c r="U3" s="21">
        <v>5.4164458521463708</v>
      </c>
      <c r="V3" s="21">
        <v>5.5812339650307701</v>
      </c>
      <c r="W3" s="21">
        <v>5.7823333259984597</v>
      </c>
      <c r="X3" s="21">
        <v>6.0252621303373912</v>
      </c>
      <c r="Y3" s="21">
        <v>6.1940288089647071</v>
      </c>
      <c r="Z3" s="21">
        <v>6.408289462428141</v>
      </c>
      <c r="AA3" s="21">
        <v>6.6969178416198458</v>
      </c>
      <c r="AB3" s="21">
        <v>6.9593724466636395</v>
      </c>
      <c r="AC3" s="21">
        <v>7.2996690167532163</v>
      </c>
      <c r="AD3" s="21">
        <v>7.6459002265889087</v>
      </c>
      <c r="AE3" s="21">
        <v>8.0933319154679566</v>
      </c>
      <c r="AF3" s="21">
        <v>8.4407225942897437</v>
      </c>
      <c r="AG3" s="21">
        <v>8.6312465197517856</v>
      </c>
      <c r="AH3" s="21">
        <v>8.6782612132926982</v>
      </c>
      <c r="AI3" s="21">
        <v>8.7347747101522728</v>
      </c>
      <c r="AJ3" s="21">
        <v>8.8612099923437686</v>
      </c>
      <c r="AK3" s="21">
        <v>8.9246985474639526</v>
      </c>
      <c r="AL3" s="21">
        <v>8.9391360908524167</v>
      </c>
      <c r="AM3" s="21">
        <v>8.9269312234125486</v>
      </c>
      <c r="AN3" s="21">
        <v>8.9036985552747687</v>
      </c>
      <c r="AO3" s="21">
        <v>8.8732729632341751</v>
      </c>
      <c r="AP3" s="21">
        <f>AP12</f>
        <v>8.827803820652683</v>
      </c>
      <c r="AQ3" s="21">
        <f t="shared" ref="AQ3:BC3" si="0">AQ12</f>
        <v>8.8079694339534047</v>
      </c>
      <c r="AR3" s="21">
        <f t="shared" si="0"/>
        <v>8.802419687199265</v>
      </c>
      <c r="AS3" s="21">
        <f t="shared" si="0"/>
        <v>8.9994734976865853</v>
      </c>
      <c r="AT3" s="21">
        <f t="shared" si="0"/>
        <v>8.9710794609746536</v>
      </c>
      <c r="AU3" s="21">
        <f t="shared" si="0"/>
        <v>8.9150414528028463</v>
      </c>
      <c r="AV3" s="21">
        <f t="shared" si="0"/>
        <v>8.858724239324367</v>
      </c>
      <c r="AW3" s="21">
        <f t="shared" si="0"/>
        <v>8.7687563994435518</v>
      </c>
      <c r="AX3" s="21">
        <f t="shared" si="0"/>
        <v>8.6570098293382038</v>
      </c>
      <c r="AY3" s="21">
        <f t="shared" si="0"/>
        <v>8.5405516254124354</v>
      </c>
      <c r="AZ3" s="21">
        <f t="shared" si="0"/>
        <v>8.5059633925875797</v>
      </c>
      <c r="BA3" s="21">
        <f t="shared" si="0"/>
        <v>8.5202801200545331</v>
      </c>
      <c r="BB3" s="21">
        <f t="shared" si="0"/>
        <v>8.4661113701018778</v>
      </c>
      <c r="BC3" s="21">
        <f t="shared" si="0"/>
        <v>8.4355520819983951</v>
      </c>
      <c r="BD3" s="21">
        <f>BD12</f>
        <v>8.4346249453341606</v>
      </c>
    </row>
    <row r="5" spans="1:61" x14ac:dyDescent="0.25">
      <c r="A5" s="130" t="s">
        <v>4</v>
      </c>
      <c r="B5" s="130"/>
      <c r="AX5" s="13"/>
      <c r="AY5" s="30"/>
      <c r="AZ5" s="13"/>
    </row>
    <row r="6" spans="1:61" x14ac:dyDescent="0.25">
      <c r="A6" s="7">
        <v>1</v>
      </c>
      <c r="B6" s="7" t="s">
        <v>172</v>
      </c>
    </row>
    <row r="7" spans="1:61" x14ac:dyDescent="0.25">
      <c r="A7" s="7">
        <v>2</v>
      </c>
      <c r="B7" s="7" t="s">
        <v>173</v>
      </c>
    </row>
    <row r="8" spans="1:61" x14ac:dyDescent="0.25">
      <c r="A8" s="7">
        <v>3</v>
      </c>
      <c r="B8" s="7" t="s">
        <v>174</v>
      </c>
    </row>
    <row r="9" spans="1:61" x14ac:dyDescent="0.25">
      <c r="A9" s="7">
        <v>4</v>
      </c>
      <c r="B9" s="7" t="s">
        <v>174</v>
      </c>
    </row>
    <row r="11" spans="1:61" s="91" customFormat="1" x14ac:dyDescent="0.3">
      <c r="A11" s="152" t="s">
        <v>7</v>
      </c>
      <c r="B11" s="15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row>
    <row r="12" spans="1:61" s="93" customFormat="1" x14ac:dyDescent="0.3">
      <c r="A12" s="93">
        <v>1</v>
      </c>
      <c r="B12" s="93" t="s">
        <v>171</v>
      </c>
      <c r="C12" s="94">
        <f>C17/C16*C13</f>
        <v>0.17919422596874984</v>
      </c>
      <c r="D12" s="93">
        <f t="shared" ref="D12:BC12" si="1">(D17/D16)*D13</f>
        <v>0.30655002150350319</v>
      </c>
      <c r="E12" s="93">
        <f t="shared" si="1"/>
        <v>0.45445292648146762</v>
      </c>
      <c r="F12" s="95">
        <f t="shared" si="1"/>
        <v>0.48846344891725935</v>
      </c>
      <c r="G12" s="95">
        <f t="shared" si="1"/>
        <v>1.4294545283992308</v>
      </c>
      <c r="H12" s="95">
        <f t="shared" si="1"/>
        <v>1.6473034384440794</v>
      </c>
      <c r="I12" s="95">
        <f t="shared" si="1"/>
        <v>1.8717498473748473</v>
      </c>
      <c r="J12" s="95">
        <f t="shared" si="1"/>
        <v>2.0988393755787271</v>
      </c>
      <c r="K12" s="95">
        <f t="shared" si="1"/>
        <v>2.3434842505953983</v>
      </c>
      <c r="L12" s="95">
        <f t="shared" si="1"/>
        <v>2.6201183163358444</v>
      </c>
      <c r="M12" s="95">
        <f t="shared" si="1"/>
        <v>2.9292407779490079</v>
      </c>
      <c r="N12" s="95">
        <f t="shared" si="1"/>
        <v>3.278080910715059</v>
      </c>
      <c r="O12" s="95">
        <f t="shared" si="1"/>
        <v>3.6448126214887377</v>
      </c>
      <c r="P12" s="95">
        <f t="shared" si="1"/>
        <v>4.024339692981421</v>
      </c>
      <c r="Q12" s="95">
        <f t="shared" si="1"/>
        <v>4.3999380886025046</v>
      </c>
      <c r="R12" s="95">
        <f t="shared" si="1"/>
        <v>4.6941361188667106</v>
      </c>
      <c r="S12" s="95">
        <f t="shared" si="1"/>
        <v>4.9685966931914605</v>
      </c>
      <c r="T12" s="95">
        <f t="shared" si="1"/>
        <v>5.2098729107923667</v>
      </c>
      <c r="U12" s="95">
        <f t="shared" si="1"/>
        <v>5.4164458521463708</v>
      </c>
      <c r="V12" s="95">
        <f t="shared" si="1"/>
        <v>5.5812339650307701</v>
      </c>
      <c r="W12" s="95">
        <f t="shared" si="1"/>
        <v>5.7823333259984597</v>
      </c>
      <c r="X12" s="95">
        <f t="shared" si="1"/>
        <v>6.0252621303373912</v>
      </c>
      <c r="Y12" s="95">
        <f t="shared" si="1"/>
        <v>6.1940288089647071</v>
      </c>
      <c r="Z12" s="95">
        <f t="shared" si="1"/>
        <v>6.408289462428141</v>
      </c>
      <c r="AA12" s="95">
        <f t="shared" si="1"/>
        <v>6.6969178416198458</v>
      </c>
      <c r="AB12" s="95">
        <f t="shared" si="1"/>
        <v>6.9593724466636395</v>
      </c>
      <c r="AC12" s="95">
        <f t="shared" si="1"/>
        <v>7.2996690167532163</v>
      </c>
      <c r="AD12" s="95">
        <f t="shared" si="1"/>
        <v>7.6459002265889087</v>
      </c>
      <c r="AE12" s="95">
        <f t="shared" si="1"/>
        <v>8.0933319154679566</v>
      </c>
      <c r="AF12" s="95">
        <f t="shared" si="1"/>
        <v>8.4407225942897437</v>
      </c>
      <c r="AG12" s="95">
        <f t="shared" si="1"/>
        <v>8.6312465197517856</v>
      </c>
      <c r="AH12" s="95">
        <f t="shared" si="1"/>
        <v>8.6782612132926982</v>
      </c>
      <c r="AI12" s="95">
        <f t="shared" si="1"/>
        <v>8.7347747101522728</v>
      </c>
      <c r="AJ12" s="95">
        <f t="shared" si="1"/>
        <v>8.8612099923437686</v>
      </c>
      <c r="AK12" s="95">
        <f t="shared" si="1"/>
        <v>8.9246985474639526</v>
      </c>
      <c r="AL12" s="95">
        <f t="shared" si="1"/>
        <v>8.9391360908524167</v>
      </c>
      <c r="AM12" s="95">
        <f t="shared" si="1"/>
        <v>8.9269312234125486</v>
      </c>
      <c r="AN12" s="95">
        <f t="shared" si="1"/>
        <v>8.9036985552747687</v>
      </c>
      <c r="AO12" s="95">
        <f t="shared" si="1"/>
        <v>8.8732729632341751</v>
      </c>
      <c r="AP12" s="95">
        <f t="shared" si="1"/>
        <v>8.827803820652683</v>
      </c>
      <c r="AQ12" s="95">
        <f>(AQ17/AQ16)*AQ13</f>
        <v>8.8079694339534047</v>
      </c>
      <c r="AR12" s="95">
        <f t="shared" si="1"/>
        <v>8.802419687199265</v>
      </c>
      <c r="AS12" s="95">
        <f t="shared" si="1"/>
        <v>8.9994734976865853</v>
      </c>
      <c r="AT12" s="95">
        <f t="shared" si="1"/>
        <v>8.9710794609746536</v>
      </c>
      <c r="AU12" s="95">
        <f t="shared" si="1"/>
        <v>8.9150414528028463</v>
      </c>
      <c r="AV12" s="95">
        <f t="shared" si="1"/>
        <v>8.858724239324367</v>
      </c>
      <c r="AW12" s="95">
        <f t="shared" si="1"/>
        <v>8.7687563994435518</v>
      </c>
      <c r="AX12" s="95">
        <f t="shared" si="1"/>
        <v>8.6570098293382038</v>
      </c>
      <c r="AY12" s="95">
        <f t="shared" si="1"/>
        <v>8.5405516254124354</v>
      </c>
      <c r="AZ12" s="95">
        <f t="shared" si="1"/>
        <v>8.5059633925875797</v>
      </c>
      <c r="BA12" s="95">
        <f t="shared" si="1"/>
        <v>8.5202801200545331</v>
      </c>
      <c r="BB12" s="95">
        <f>(BB17/BB16)*BB13</f>
        <v>8.4661113701018778</v>
      </c>
      <c r="BC12" s="95">
        <f t="shared" si="1"/>
        <v>8.4355520819983951</v>
      </c>
      <c r="BD12" s="95">
        <f>(BD17/BD16)*BD13</f>
        <v>8.4346249453341606</v>
      </c>
    </row>
    <row r="13" spans="1:61" s="96" customFormat="1" x14ac:dyDescent="0.25">
      <c r="A13" s="96">
        <v>2</v>
      </c>
      <c r="B13" s="97" t="s">
        <v>175</v>
      </c>
      <c r="C13" s="98">
        <v>10.4</v>
      </c>
      <c r="D13" s="98">
        <v>17.73</v>
      </c>
      <c r="E13" s="98">
        <v>25.98</v>
      </c>
      <c r="F13" s="98">
        <v>27.3</v>
      </c>
      <c r="G13" s="98">
        <v>78.55</v>
      </c>
      <c r="H13" s="98">
        <v>88.91</v>
      </c>
      <c r="I13" s="98">
        <v>99.57</v>
      </c>
      <c r="J13" s="98">
        <v>111.01</v>
      </c>
      <c r="K13" s="98">
        <v>123.29</v>
      </c>
      <c r="L13" s="98">
        <v>137.29</v>
      </c>
      <c r="M13" s="98">
        <v>153.07</v>
      </c>
      <c r="N13" s="98">
        <v>169.42</v>
      </c>
      <c r="O13" s="98">
        <v>187.83</v>
      </c>
      <c r="P13" s="98">
        <v>208.1</v>
      </c>
      <c r="Q13" s="98">
        <v>228.44</v>
      </c>
      <c r="R13" s="98">
        <v>244.94</v>
      </c>
      <c r="S13" s="98">
        <v>260.98</v>
      </c>
      <c r="T13" s="98">
        <v>275.16000000000003</v>
      </c>
      <c r="U13" s="98">
        <v>288.14999999999998</v>
      </c>
      <c r="V13" s="98">
        <v>299.70999999999998</v>
      </c>
      <c r="W13" s="98">
        <v>311.57</v>
      </c>
      <c r="X13" s="98">
        <v>324.39999999999998</v>
      </c>
      <c r="Y13" s="98">
        <v>335.03</v>
      </c>
      <c r="Z13" s="98">
        <v>347.37</v>
      </c>
      <c r="AA13" s="98">
        <v>361.81</v>
      </c>
      <c r="AB13" s="98">
        <v>375.21</v>
      </c>
      <c r="AC13" s="98">
        <v>390.66</v>
      </c>
      <c r="AD13" s="98">
        <v>405.72</v>
      </c>
      <c r="AE13" s="98">
        <v>424.82</v>
      </c>
      <c r="AF13" s="98">
        <v>440.73</v>
      </c>
      <c r="AG13" s="98">
        <v>450.65</v>
      </c>
      <c r="AH13" s="98">
        <v>459.2</v>
      </c>
      <c r="AI13" s="98">
        <v>466.79</v>
      </c>
      <c r="AJ13" s="98">
        <v>473.13</v>
      </c>
      <c r="AK13" s="98">
        <v>477.01</v>
      </c>
      <c r="AL13" s="98">
        <v>478.74</v>
      </c>
      <c r="AM13" s="98">
        <v>478.77</v>
      </c>
      <c r="AN13" s="98">
        <v>478.81</v>
      </c>
      <c r="AO13" s="98">
        <v>478.82</v>
      </c>
      <c r="AP13" s="99">
        <f>$AO$13*AP15</f>
        <v>477.66344349717366</v>
      </c>
      <c r="AQ13" s="99">
        <f>$AO$13*AQ15</f>
        <v>477.58692373510769</v>
      </c>
      <c r="AR13" s="99">
        <f t="shared" ref="AR13:BA13" si="2">$AO$13*AR15</f>
        <v>477.45798432717004</v>
      </c>
      <c r="AS13" s="99">
        <f t="shared" si="2"/>
        <v>476.07860104226296</v>
      </c>
      <c r="AT13" s="99">
        <f t="shared" si="2"/>
        <v>473.79543975412469</v>
      </c>
      <c r="AU13" s="99">
        <f t="shared" si="2"/>
        <v>471.41078194517621</v>
      </c>
      <c r="AV13" s="99">
        <f t="shared" si="2"/>
        <v>469.56481257154758</v>
      </c>
      <c r="AW13" s="99">
        <f t="shared" si="2"/>
        <v>467.02315188339463</v>
      </c>
      <c r="AX13" s="99">
        <f t="shared" si="2"/>
        <v>464.18766532858291</v>
      </c>
      <c r="AY13" s="99">
        <f t="shared" si="2"/>
        <v>460.92147438254875</v>
      </c>
      <c r="AZ13" s="99">
        <f>$AO$13*AZ15</f>
        <v>458.21754646512414</v>
      </c>
      <c r="BA13" s="99">
        <f t="shared" si="2"/>
        <v>455.67190120669272</v>
      </c>
      <c r="BB13" s="99">
        <f>$AO$13*BB15</f>
        <v>452.63771002621559</v>
      </c>
      <c r="BC13" s="99">
        <f>$AO$13*BC15</f>
        <v>449.96395858427263</v>
      </c>
      <c r="BD13" s="99">
        <f>$AO$13*BD15</f>
        <v>448.26428567813531</v>
      </c>
    </row>
    <row r="14" spans="1:61" s="100" customFormat="1" x14ac:dyDescent="0.3">
      <c r="A14" s="100">
        <v>3</v>
      </c>
      <c r="B14" s="101" t="s">
        <v>176</v>
      </c>
      <c r="C14" s="102"/>
      <c r="D14" s="102"/>
      <c r="E14" s="102"/>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v>891.91736387198307</v>
      </c>
      <c r="AP14" s="103">
        <v>889.76299933589462</v>
      </c>
      <c r="AQ14" s="103">
        <v>889.62046288280999</v>
      </c>
      <c r="AR14" s="103">
        <v>889.38028223699962</v>
      </c>
      <c r="AS14" s="103">
        <v>886.8108492491474</v>
      </c>
      <c r="AT14" s="103">
        <v>882.55791245158071</v>
      </c>
      <c r="AU14" s="103">
        <v>878.11591398306632</v>
      </c>
      <c r="AV14" s="104">
        <v>874.67735223227214</v>
      </c>
      <c r="AW14" s="104">
        <v>869.94289815592947</v>
      </c>
      <c r="AX14" s="104">
        <v>864.66112276379431</v>
      </c>
      <c r="AY14" s="104">
        <v>858.57705689668489</v>
      </c>
      <c r="AZ14" s="104">
        <v>853.54034109490294</v>
      </c>
      <c r="BA14" s="104">
        <v>848.7984647984797</v>
      </c>
      <c r="BB14" s="104">
        <v>843.14655427015009</v>
      </c>
      <c r="BC14" s="104">
        <v>838.16604940872685</v>
      </c>
      <c r="BD14" s="100">
        <v>835</v>
      </c>
    </row>
    <row r="15" spans="1:61" s="96" customFormat="1" x14ac:dyDescent="0.3">
      <c r="A15" s="96">
        <v>4</v>
      </c>
      <c r="B15" s="97" t="s">
        <v>177</v>
      </c>
      <c r="C15" s="105"/>
      <c r="D15" s="105"/>
      <c r="E15" s="105"/>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106">
        <f>AP14/$AO14</f>
        <v>0.99758456935210238</v>
      </c>
      <c r="AQ15" s="106">
        <f t="shared" ref="AQ15:BB15" si="3">AQ14/$AO14</f>
        <v>0.99742476031725424</v>
      </c>
      <c r="AR15" s="106">
        <f t="shared" si="3"/>
        <v>0.99715547455655584</v>
      </c>
      <c r="AS15" s="106">
        <f t="shared" si="3"/>
        <v>0.99427467742003883</v>
      </c>
      <c r="AT15" s="106">
        <f t="shared" si="3"/>
        <v>0.98950636931231928</v>
      </c>
      <c r="AU15" s="106">
        <f t="shared" si="3"/>
        <v>0.98452608902129446</v>
      </c>
      <c r="AV15" s="106">
        <f t="shared" si="3"/>
        <v>0.98067084201066701</v>
      </c>
      <c r="AW15" s="106">
        <f t="shared" si="3"/>
        <v>0.97536266631175528</v>
      </c>
      <c r="AX15" s="106">
        <f t="shared" si="3"/>
        <v>0.96944084484479121</v>
      </c>
      <c r="AY15" s="106">
        <f t="shared" si="3"/>
        <v>0.96261951126216272</v>
      </c>
      <c r="AZ15" s="106">
        <f t="shared" si="3"/>
        <v>0.9569724457314317</v>
      </c>
      <c r="BA15" s="106">
        <f t="shared" si="3"/>
        <v>0.95165594838706136</v>
      </c>
      <c r="BB15" s="106">
        <f t="shared" si="3"/>
        <v>0.94531913877076057</v>
      </c>
      <c r="BC15" s="106">
        <f>BC14/$AO14</f>
        <v>0.93973509582781134</v>
      </c>
      <c r="BD15" s="106">
        <f>BD14/$AO14</f>
        <v>0.93618538423235309</v>
      </c>
    </row>
    <row r="16" spans="1:61" s="107" customFormat="1" x14ac:dyDescent="0.3">
      <c r="A16" s="107">
        <v>5</v>
      </c>
      <c r="B16" s="107" t="s">
        <v>178</v>
      </c>
      <c r="C16" s="108">
        <f>[1]POP!M3</f>
        <v>180671</v>
      </c>
      <c r="D16" s="108">
        <f>[1]POP!N3</f>
        <v>183691</v>
      </c>
      <c r="E16" s="108">
        <f>[1]POP!O3</f>
        <v>186538</v>
      </c>
      <c r="F16" s="108">
        <f>[1]POP!P3</f>
        <v>189242</v>
      </c>
      <c r="G16" s="108">
        <f>[1]POP!Q3</f>
        <v>191889</v>
      </c>
      <c r="H16" s="108">
        <f>[1]POP!R3</f>
        <v>194303</v>
      </c>
      <c r="I16" s="108">
        <f>[1]POP!S3</f>
        <v>196560</v>
      </c>
      <c r="J16" s="108">
        <f>[1]POP!T3</f>
        <v>198712</v>
      </c>
      <c r="K16" s="108">
        <f>[1]POP!U3</f>
        <v>200706</v>
      </c>
      <c r="L16" s="108">
        <f>[1]POP!V3</f>
        <v>202677</v>
      </c>
      <c r="M16" s="108">
        <f>[1]POP!W3</f>
        <v>205052</v>
      </c>
      <c r="N16" s="108">
        <f>[1]POP!X3</f>
        <v>207661</v>
      </c>
      <c r="O16" s="108">
        <f>[1]POP!Y3</f>
        <v>209896</v>
      </c>
      <c r="P16" s="108">
        <f>[1]POP!Z3</f>
        <v>211909</v>
      </c>
      <c r="Q16" s="108">
        <f>[1]POP!AA3</f>
        <v>213854</v>
      </c>
      <c r="R16" s="108">
        <f>[1]POP!AB3</f>
        <v>215973</v>
      </c>
      <c r="S16" s="108">
        <f>[1]POP!AC3</f>
        <v>218035</v>
      </c>
      <c r="T16" s="108">
        <f>[1]POP!AD3</f>
        <v>220239</v>
      </c>
      <c r="U16" s="108">
        <f>[1]POP!AE3</f>
        <v>222585</v>
      </c>
      <c r="V16" s="108">
        <f>[1]POP!AF3</f>
        <v>225055</v>
      </c>
      <c r="W16" s="108">
        <f>[1]POP!AG3</f>
        <v>227225</v>
      </c>
      <c r="X16" s="108">
        <f>[1]POP!AH3</f>
        <v>229466</v>
      </c>
      <c r="Y16" s="108">
        <f>[1]POP!AI3</f>
        <v>231664</v>
      </c>
      <c r="Z16" s="108">
        <f>[1]POP!AJ3</f>
        <v>233792</v>
      </c>
      <c r="AA16" s="108">
        <f>[1]POP!AK3</f>
        <v>235825</v>
      </c>
      <c r="AB16" s="108">
        <f>[1]POP!AL3</f>
        <v>237924</v>
      </c>
      <c r="AC16" s="108">
        <f>[1]POP!AM3</f>
        <v>240133</v>
      </c>
      <c r="AD16" s="108">
        <f>[1]POP!AN3</f>
        <v>242289</v>
      </c>
      <c r="AE16" s="108">
        <f>[1]POP!AO3</f>
        <v>244499</v>
      </c>
      <c r="AF16" s="108">
        <f>[1]POP!AP3</f>
        <v>246819</v>
      </c>
      <c r="AG16" s="108">
        <f>[1]POP!AQ3</f>
        <v>249623</v>
      </c>
      <c r="AH16" s="108">
        <f>[1]POP!AR3</f>
        <v>252981</v>
      </c>
      <c r="AI16" s="108">
        <f>[1]POP!AS3</f>
        <v>256514</v>
      </c>
      <c r="AJ16" s="108">
        <f>[1]POP!AT3</f>
        <v>259919</v>
      </c>
      <c r="AK16" s="108">
        <f>[1]POP!AU3</f>
        <v>263126</v>
      </c>
      <c r="AL16" s="108">
        <f>[1]POP!AV3</f>
        <v>266278</v>
      </c>
      <c r="AM16" s="108">
        <f>[1]POP!AW3</f>
        <v>269394</v>
      </c>
      <c r="AN16" s="108">
        <f>[1]POP!AX3</f>
        <v>272647</v>
      </c>
      <c r="AO16" s="108">
        <f>[1]POP!AY3</f>
        <v>275854</v>
      </c>
      <c r="AP16" s="108">
        <f>[1]POP!AZ3</f>
        <v>279040</v>
      </c>
      <c r="AQ16" s="108">
        <f>[1]POP!BA3</f>
        <v>282172</v>
      </c>
      <c r="AR16" s="108">
        <f>[1]POP!BB3</f>
        <v>285040</v>
      </c>
      <c r="AS16" s="108">
        <f>[1]POP!BC3</f>
        <v>287727</v>
      </c>
      <c r="AT16" s="108">
        <f>[1]POP!BD3</f>
        <v>290211</v>
      </c>
      <c r="AU16" s="108">
        <f>[1]POP!BE3</f>
        <v>292892</v>
      </c>
      <c r="AV16" s="108">
        <f>[1]POP!BF3</f>
        <v>295561</v>
      </c>
      <c r="AW16" s="108">
        <f>[1]POP!BG3</f>
        <v>298362</v>
      </c>
      <c r="AX16" s="108">
        <f>[1]POP!BH3</f>
        <v>301290</v>
      </c>
      <c r="AY16" s="108">
        <f>[1]POP!BI3</f>
        <v>304059</v>
      </c>
      <c r="AZ16" s="108">
        <f>[1]POP!BJ3</f>
        <v>307006</v>
      </c>
      <c r="BA16" s="108">
        <f>[1]POP!BK3</f>
        <v>308745</v>
      </c>
      <c r="BB16" s="108">
        <f>[1]POP!BL3</f>
        <v>311592</v>
      </c>
      <c r="BC16" s="108">
        <f>[1]POP!BM3</f>
        <v>313914</v>
      </c>
      <c r="BD16" s="108">
        <f>[1]POP!BN3</f>
        <v>315091.13799999998</v>
      </c>
    </row>
    <row r="17" spans="1:256" s="107" customFormat="1" x14ac:dyDescent="0.3">
      <c r="A17" s="107">
        <v>6</v>
      </c>
      <c r="B17" s="107" t="s">
        <v>179</v>
      </c>
      <c r="C17" s="108">
        <f>[1]POP!M4</f>
        <v>3113</v>
      </c>
      <c r="D17" s="108">
        <f>[1]POP!N4</f>
        <v>3176</v>
      </c>
      <c r="E17" s="108">
        <f>[1]POP!O4</f>
        <v>3263</v>
      </c>
      <c r="F17" s="108">
        <f>[1]POP!P4</f>
        <v>3386</v>
      </c>
      <c r="G17" s="108">
        <f>[1]POP!Q4</f>
        <v>3492</v>
      </c>
      <c r="H17" s="108">
        <f>[1]POP!R4</f>
        <v>3600</v>
      </c>
      <c r="I17" s="108">
        <f>[1]POP!S4</f>
        <v>3695</v>
      </c>
      <c r="J17" s="108">
        <f>[1]POP!T4</f>
        <v>3757</v>
      </c>
      <c r="K17" s="108">
        <f>[1]POP!U4</f>
        <v>3815</v>
      </c>
      <c r="L17" s="108">
        <f>[1]POP!V4</f>
        <v>3868</v>
      </c>
      <c r="M17" s="108">
        <f>[1]POP!W4</f>
        <v>3924</v>
      </c>
      <c r="N17" s="108">
        <f>[1]POP!X4</f>
        <v>4018</v>
      </c>
      <c r="O17" s="108">
        <f>[1]POP!Y4</f>
        <v>4073</v>
      </c>
      <c r="P17" s="108">
        <f>[1]POP!Z4</f>
        <v>4098</v>
      </c>
      <c r="Q17" s="108">
        <f>[1]POP!AA4</f>
        <v>4119</v>
      </c>
      <c r="R17" s="108">
        <f>[1]POP!AB4</f>
        <v>4139</v>
      </c>
      <c r="S17" s="108">
        <f>[1]POP!AC4</f>
        <v>4151</v>
      </c>
      <c r="T17" s="108">
        <f>[1]POP!AD4</f>
        <v>4170</v>
      </c>
      <c r="U17" s="108">
        <f>[1]POP!AE4</f>
        <v>4184</v>
      </c>
      <c r="V17" s="108">
        <f>[1]POP!AF4</f>
        <v>4191</v>
      </c>
      <c r="W17" s="108">
        <f>[1]POP!AG4</f>
        <v>4217</v>
      </c>
      <c r="X17" s="108">
        <f>[1]POP!AH4</f>
        <v>4262</v>
      </c>
      <c r="Y17" s="108">
        <f>[1]POP!AI4</f>
        <v>4283</v>
      </c>
      <c r="Z17" s="108">
        <f>[1]POP!AJ4</f>
        <v>4313</v>
      </c>
      <c r="AA17" s="108">
        <f>[1]POP!AK4</f>
        <v>4365</v>
      </c>
      <c r="AB17" s="108">
        <f>[1]POP!AL4</f>
        <v>4413</v>
      </c>
      <c r="AC17" s="108">
        <f>[1]POP!AM4</f>
        <v>4487</v>
      </c>
      <c r="AD17" s="108">
        <f>[1]POP!AN4</f>
        <v>4566</v>
      </c>
      <c r="AE17" s="108">
        <f>[1]POP!AO4</f>
        <v>4658</v>
      </c>
      <c r="AF17" s="108">
        <f>[1]POP!AP4</f>
        <v>4727</v>
      </c>
      <c r="AG17" s="108">
        <f>[1]POP!AQ4</f>
        <v>4781</v>
      </c>
      <c r="AH17" s="108">
        <f>[1]POP!AR4</f>
        <v>4781</v>
      </c>
      <c r="AI17" s="108">
        <f>[1]POP!AS4</f>
        <v>4800</v>
      </c>
      <c r="AJ17" s="108">
        <f>[1]POP!AT4</f>
        <v>4868</v>
      </c>
      <c r="AK17" s="108">
        <f>[1]POP!AU4</f>
        <v>4923</v>
      </c>
      <c r="AL17" s="108">
        <f>[1]POP!AV4</f>
        <v>4972</v>
      </c>
      <c r="AM17" s="108">
        <f>[1]POP!AW4</f>
        <v>5023</v>
      </c>
      <c r="AN17" s="108">
        <f>[1]POP!AX4</f>
        <v>5070</v>
      </c>
      <c r="AO17" s="108">
        <f>[1]POP!AY4</f>
        <v>5112</v>
      </c>
      <c r="AP17" s="108">
        <f>[1]POP!AZ4</f>
        <v>5157</v>
      </c>
      <c r="AQ17" s="108">
        <f>[1]POP!BA4</f>
        <v>5204</v>
      </c>
      <c r="AR17" s="108">
        <f>[1]POP!BB4</f>
        <v>5255</v>
      </c>
      <c r="AS17" s="108">
        <f>[1]POP!BC4</f>
        <v>5439</v>
      </c>
      <c r="AT17" s="108">
        <f>[1]POP!BD4</f>
        <v>5495</v>
      </c>
      <c r="AU17" s="108">
        <f>[1]POP!BE4</f>
        <v>5539</v>
      </c>
      <c r="AV17" s="108">
        <f>[1]POP!BF4</f>
        <v>5576</v>
      </c>
      <c r="AW17" s="108">
        <f>[1]POP!BG4</f>
        <v>5602</v>
      </c>
      <c r="AX17" s="108">
        <f>[1]POP!BH4</f>
        <v>5619</v>
      </c>
      <c r="AY17" s="108">
        <f>[1]POP!BI4</f>
        <v>5634</v>
      </c>
      <c r="AZ17" s="108">
        <f>[1]POP!BJ4</f>
        <v>5699</v>
      </c>
      <c r="BA17" s="108">
        <f>[1]POP!BK4</f>
        <v>5773</v>
      </c>
      <c r="BB17" s="108">
        <f>[1]POP!BL4</f>
        <v>5828</v>
      </c>
      <c r="BC17" s="108">
        <f>[1]POP!BM4</f>
        <v>5885</v>
      </c>
      <c r="BD17" s="108">
        <f>[1]POP!BN4</f>
        <v>5928.8140000000003</v>
      </c>
    </row>
    <row r="18" spans="1:256" s="109" customFormat="1" x14ac:dyDescent="0.3">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row>
    <row r="19" spans="1:256" s="109" customFormat="1" x14ac:dyDescent="0.3">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row>
    <row r="20" spans="1:256" x14ac:dyDescent="0.25">
      <c r="A20" s="130" t="s">
        <v>11</v>
      </c>
      <c r="B20" s="130"/>
    </row>
    <row r="21" spans="1:256" x14ac:dyDescent="0.25">
      <c r="A21" s="7">
        <v>1</v>
      </c>
      <c r="B21" s="7" t="s">
        <v>180</v>
      </c>
    </row>
    <row r="22" spans="1:256" x14ac:dyDescent="0.25">
      <c r="A22" s="7">
        <v>2</v>
      </c>
      <c r="B22" s="7" t="s">
        <v>181</v>
      </c>
    </row>
    <row r="23" spans="1:256" ht="14" x14ac:dyDescent="0.3">
      <c r="A23" s="7">
        <v>3</v>
      </c>
      <c r="B23" s="111" t="s">
        <v>182</v>
      </c>
    </row>
    <row r="24" spans="1:256" x14ac:dyDescent="0.25">
      <c r="A24" s="7">
        <v>4</v>
      </c>
      <c r="B24" s="7" t="s">
        <v>183</v>
      </c>
    </row>
    <row r="26" spans="1:256" ht="14" x14ac:dyDescent="0.3">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4" x14ac:dyDescent="0.3">
      <c r="A27" s="130" t="s">
        <v>16</v>
      </c>
      <c r="B27" s="130"/>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v>8.4290000000000003</v>
      </c>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4" x14ac:dyDescent="0.3">
      <c r="A28" s="145" t="s">
        <v>184</v>
      </c>
      <c r="B28" s="145"/>
      <c r="C28" s="145"/>
      <c r="D28" s="145"/>
      <c r="E28" s="145"/>
      <c r="F28" s="145"/>
      <c r="G28" s="145"/>
      <c r="H28" s="145"/>
      <c r="I28" s="145"/>
      <c r="J28" s="145"/>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4" x14ac:dyDescent="0.3">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4" x14ac:dyDescent="0.3">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4" x14ac:dyDescent="0.3">
      <c r="A31" s="130" t="s">
        <v>18</v>
      </c>
      <c r="B31" s="130"/>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80.75" customHeight="1" x14ac:dyDescent="0.3">
      <c r="A32" s="151" t="s">
        <v>185</v>
      </c>
      <c r="B32" s="151"/>
      <c r="C32" s="151"/>
      <c r="D32" s="151"/>
      <c r="E32" s="151"/>
      <c r="F32" s="142"/>
      <c r="G32" s="142"/>
      <c r="H32" s="142"/>
      <c r="I32" s="15"/>
      <c r="J32" s="15"/>
      <c r="K32" s="15"/>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4" x14ac:dyDescent="0.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4" x14ac:dyDescent="0.3">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4" x14ac:dyDescent="0.3">
      <c r="A35" s="130" t="s">
        <v>21</v>
      </c>
      <c r="B35" s="130"/>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ht="14" x14ac:dyDescent="0.3">
      <c r="A36" s="129"/>
      <c r="B36" s="129"/>
      <c r="C36" s="129"/>
      <c r="D36" s="129"/>
      <c r="E36" s="129"/>
      <c r="F36" s="129"/>
      <c r="G36" s="129"/>
      <c r="H36" s="129"/>
      <c r="I36" s="129"/>
      <c r="J36" s="129"/>
      <c r="K36" s="129"/>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14" x14ac:dyDescent="0.3">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14" x14ac:dyDescent="0.3">
      <c r="A38" s="130" t="s">
        <v>22</v>
      </c>
      <c r="B38" s="130"/>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ht="14" x14ac:dyDescent="0.3">
      <c r="A39" s="129" t="s">
        <v>186</v>
      </c>
      <c r="B39" s="129"/>
      <c r="C39" s="129"/>
      <c r="D39" s="129"/>
      <c r="E39" s="129"/>
      <c r="F39" s="129"/>
      <c r="G39" s="129"/>
      <c r="H39" s="129"/>
      <c r="I39" s="129"/>
      <c r="J39" s="129"/>
      <c r="K39" s="12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14" x14ac:dyDescent="0.3">
      <c r="B40" s="7" t="s">
        <v>187</v>
      </c>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customFormat="1" x14ac:dyDescent="0.3">
      <c r="B41" t="s">
        <v>188</v>
      </c>
    </row>
    <row r="42" spans="1:256" customFormat="1" x14ac:dyDescent="0.3">
      <c r="B42" t="s">
        <v>189</v>
      </c>
    </row>
    <row r="43" spans="1:256" customFormat="1" ht="155" customHeight="1" x14ac:dyDescent="0.3">
      <c r="B43" t="s">
        <v>190</v>
      </c>
    </row>
    <row r="44" spans="1:256" customFormat="1" x14ac:dyDescent="0.3">
      <c r="B44" t="s">
        <v>191</v>
      </c>
    </row>
    <row r="45" spans="1:256" customFormat="1" x14ac:dyDescent="0.3">
      <c r="B45">
        <v>2000</v>
      </c>
    </row>
    <row r="46" spans="1:256" customFormat="1" x14ac:dyDescent="0.3"/>
    <row r="47" spans="1:256" customFormat="1" x14ac:dyDescent="0.3"/>
    <row r="48" spans="1:256" customFormat="1" x14ac:dyDescent="0.3"/>
    <row r="49" customFormat="1" x14ac:dyDescent="0.3"/>
    <row r="50" customFormat="1" x14ac:dyDescent="0.3"/>
  </sheetData>
  <mergeCells count="12">
    <mergeCell ref="A39:K39"/>
    <mergeCell ref="A5:B5"/>
    <mergeCell ref="A11:B11"/>
    <mergeCell ref="A20:B20"/>
    <mergeCell ref="A27:B27"/>
    <mergeCell ref="A28:J28"/>
    <mergeCell ref="A31:B31"/>
    <mergeCell ref="A32:E32"/>
    <mergeCell ref="F32:H32"/>
    <mergeCell ref="A35:B35"/>
    <mergeCell ref="A36:K36"/>
    <mergeCell ref="A38:B38"/>
  </mergeCells>
  <hyperlinks>
    <hyperlink ref="B23" r:id="rId1" display="http://cdiac.ornl.gov/pns/current_ghg.html"/>
  </hyperlinks>
  <pageMargins left="0.75" right="0.75" top="1" bottom="1" header="0.5" footer="0.5"/>
  <pageSetup orientation="portrait" horizontalDpi="4294967292" verticalDpi="4294967292"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BH89"/>
  <sheetViews>
    <sheetView tabSelected="1" zoomScale="80" zoomScaleNormal="80" workbookViewId="0">
      <pane xSplit="2" ySplit="2" topLeftCell="D3" activePane="bottomRight" state="frozen"/>
      <selection activeCell="AV27" sqref="AV27"/>
      <selection pane="topRight" activeCell="AV27" sqref="AV27"/>
      <selection pane="bottomLeft" activeCell="AV27" sqref="AV27"/>
      <selection pane="bottomRight" activeCell="D102" sqref="D102"/>
    </sheetView>
  </sheetViews>
  <sheetFormatPr defaultColWidth="11" defaultRowHeight="13.5" x14ac:dyDescent="0.25"/>
  <cols>
    <col min="1" max="1" width="10.53515625" style="7" customWidth="1"/>
    <col min="2" max="2" width="65.53515625" style="7" customWidth="1"/>
    <col min="3" max="58" width="20.53515625" style="7" customWidth="1"/>
    <col min="59" max="60" width="21.3828125" style="7" customWidth="1"/>
    <col min="61" max="16384" width="11" style="7"/>
  </cols>
  <sheetData>
    <row r="1" spans="1:57" s="2" customFormat="1" ht="18" thickBot="1" x14ac:dyDescent="0.4">
      <c r="A1" s="1" t="s">
        <v>192</v>
      </c>
      <c r="B1" s="1"/>
      <c r="C1" s="1"/>
      <c r="D1" s="1"/>
      <c r="E1" s="1"/>
    </row>
    <row r="2" spans="1:57" s="4" customFormat="1" ht="14" thickTop="1" x14ac:dyDescent="0.25">
      <c r="B2" s="5" t="s">
        <v>1</v>
      </c>
      <c r="C2" s="4">
        <v>1960</v>
      </c>
      <c r="D2" s="4">
        <v>1961</v>
      </c>
      <c r="E2" s="4">
        <v>1962</v>
      </c>
      <c r="F2" s="4">
        <v>1963</v>
      </c>
      <c r="G2" s="4">
        <v>1964</v>
      </c>
      <c r="H2" s="4">
        <v>1965</v>
      </c>
      <c r="I2" s="4">
        <v>1966</v>
      </c>
      <c r="J2" s="4">
        <v>1967</v>
      </c>
      <c r="K2" s="4">
        <v>1968</v>
      </c>
      <c r="L2" s="4">
        <v>1969</v>
      </c>
      <c r="M2" s="4">
        <v>1970</v>
      </c>
      <c r="N2" s="4">
        <v>1971</v>
      </c>
      <c r="O2" s="4">
        <v>1972</v>
      </c>
      <c r="P2" s="4">
        <v>1973</v>
      </c>
      <c r="Q2" s="4">
        <v>1974</v>
      </c>
      <c r="R2" s="4">
        <v>1975</v>
      </c>
      <c r="S2" s="4">
        <v>1976</v>
      </c>
      <c r="T2" s="4">
        <v>1977</v>
      </c>
      <c r="U2" s="4">
        <v>1978</v>
      </c>
      <c r="V2" s="4">
        <v>1979</v>
      </c>
      <c r="W2" s="4">
        <v>1980</v>
      </c>
      <c r="X2" s="4">
        <v>1981</v>
      </c>
      <c r="Y2" s="4">
        <v>1982</v>
      </c>
      <c r="Z2" s="4">
        <v>1983</v>
      </c>
      <c r="AA2" s="4">
        <v>1984</v>
      </c>
      <c r="AB2" s="4">
        <v>1985</v>
      </c>
      <c r="AC2" s="4">
        <v>1986</v>
      </c>
      <c r="AD2" s="4">
        <v>1987</v>
      </c>
      <c r="AE2" s="4">
        <v>1988</v>
      </c>
      <c r="AF2" s="4">
        <v>1989</v>
      </c>
      <c r="AG2" s="4">
        <v>1990</v>
      </c>
      <c r="AH2" s="4">
        <v>1991</v>
      </c>
      <c r="AI2" s="4">
        <v>1992</v>
      </c>
      <c r="AJ2" s="4">
        <v>1993</v>
      </c>
      <c r="AK2" s="4">
        <v>1994</v>
      </c>
      <c r="AL2" s="4">
        <v>1995</v>
      </c>
      <c r="AM2" s="4">
        <v>1996</v>
      </c>
      <c r="AN2" s="4">
        <v>1997</v>
      </c>
      <c r="AO2" s="4">
        <v>1998</v>
      </c>
      <c r="AP2" s="4">
        <v>1999</v>
      </c>
      <c r="AQ2" s="4">
        <v>2000</v>
      </c>
      <c r="AR2" s="4">
        <v>2001</v>
      </c>
      <c r="AS2" s="4">
        <v>2002</v>
      </c>
      <c r="AT2" s="4">
        <v>2003</v>
      </c>
      <c r="AU2" s="4">
        <v>2004</v>
      </c>
      <c r="AV2" s="4">
        <v>2005</v>
      </c>
      <c r="AW2" s="4">
        <v>2006</v>
      </c>
      <c r="AX2" s="4">
        <v>2007</v>
      </c>
      <c r="AY2" s="4">
        <v>2008</v>
      </c>
      <c r="AZ2" s="4">
        <v>2009</v>
      </c>
      <c r="BA2" s="4">
        <v>2010</v>
      </c>
      <c r="BB2" s="4">
        <v>2011</v>
      </c>
      <c r="BC2" s="4">
        <v>2012</v>
      </c>
      <c r="BD2" s="4">
        <v>2013</v>
      </c>
      <c r="BE2" s="4">
        <v>2014</v>
      </c>
    </row>
    <row r="3" spans="1:57" s="21" customFormat="1" x14ac:dyDescent="0.25">
      <c r="A3" s="9">
        <v>1</v>
      </c>
      <c r="B3" s="21" t="s">
        <v>193</v>
      </c>
      <c r="C3" s="10">
        <f t="shared" ref="C3:BB6" si="0">C21</f>
        <v>12.042653887450001</v>
      </c>
      <c r="D3" s="10">
        <f t="shared" si="0"/>
        <v>12.052908392125</v>
      </c>
      <c r="E3" s="10">
        <f t="shared" si="0"/>
        <v>12.931546698900002</v>
      </c>
      <c r="F3" s="10">
        <f t="shared" si="0"/>
        <v>13.337494895825001</v>
      </c>
      <c r="G3" s="10">
        <f t="shared" si="0"/>
        <v>14.124471767700001</v>
      </c>
      <c r="H3" s="10">
        <f t="shared" si="0"/>
        <v>14.635182133475</v>
      </c>
      <c r="I3" s="10">
        <f t="shared" si="0"/>
        <v>15.149226053174999</v>
      </c>
      <c r="J3" s="10">
        <f t="shared" si="0"/>
        <v>15.1866738322</v>
      </c>
      <c r="K3" s="10">
        <f t="shared" si="0"/>
        <v>15.989143280624999</v>
      </c>
      <c r="L3" s="10">
        <f t="shared" si="0"/>
        <v>16.8301223142</v>
      </c>
      <c r="M3" s="10">
        <f t="shared" si="0"/>
        <v>17.276162001599999</v>
      </c>
      <c r="N3" s="10">
        <f t="shared" si="0"/>
        <v>17.810873495699997</v>
      </c>
      <c r="O3" s="10">
        <f t="shared" si="0"/>
        <v>17.967124049699997</v>
      </c>
      <c r="P3" s="10">
        <f t="shared" si="0"/>
        <v>19.494971078300001</v>
      </c>
      <c r="Q3" s="10">
        <f t="shared" si="0"/>
        <v>17.739159835899997</v>
      </c>
      <c r="R3" s="10">
        <f t="shared" si="0"/>
        <v>16.608521668000002</v>
      </c>
      <c r="S3" s="10">
        <f t="shared" si="0"/>
        <v>17.776484108999998</v>
      </c>
      <c r="T3" s="10">
        <f t="shared" si="0"/>
        <v>17.124306217000001</v>
      </c>
      <c r="U3" s="10">
        <f t="shared" si="0"/>
        <v>17.381479239000001</v>
      </c>
      <c r="V3" s="10">
        <f t="shared" si="0"/>
        <v>18.5139845936</v>
      </c>
      <c r="W3" s="10">
        <f t="shared" si="0"/>
        <v>17.374668288399999</v>
      </c>
      <c r="X3" s="10">
        <f t="shared" si="0"/>
        <v>17.094027857</v>
      </c>
      <c r="Y3" s="10">
        <f t="shared" si="0"/>
        <v>16.2304060381</v>
      </c>
      <c r="Z3" s="10">
        <f t="shared" si="0"/>
        <v>16.411919849</v>
      </c>
      <c r="AA3" s="10">
        <f t="shared" si="0"/>
        <v>17.676796284400002</v>
      </c>
      <c r="AB3" s="10">
        <f t="shared" si="0"/>
        <v>16.906137993000002</v>
      </c>
      <c r="AC3" s="10">
        <f t="shared" si="0"/>
        <v>17.179906011</v>
      </c>
      <c r="AD3" s="10">
        <f t="shared" si="0"/>
        <v>18.318556167700002</v>
      </c>
      <c r="AE3" s="10">
        <f t="shared" si="0"/>
        <v>18.757611040199997</v>
      </c>
      <c r="AF3" s="10">
        <f t="shared" si="0"/>
        <v>18.868952060000002</v>
      </c>
      <c r="AG3" s="10">
        <f t="shared" si="0"/>
        <v>17.658028480200002</v>
      </c>
      <c r="AH3" s="10">
        <f t="shared" si="0"/>
        <v>17.488367833200002</v>
      </c>
      <c r="AI3" s="10">
        <f t="shared" si="0"/>
        <v>17.348377209500001</v>
      </c>
      <c r="AJ3" s="10">
        <f t="shared" si="0"/>
        <v>17.830151667100001</v>
      </c>
      <c r="AK3" s="10">
        <f t="shared" si="0"/>
        <v>17.957519273700001</v>
      </c>
      <c r="AL3" s="10">
        <f t="shared" si="0"/>
        <v>18.2177691869</v>
      </c>
      <c r="AM3" s="10">
        <f t="shared" si="0"/>
        <v>18.660874393700002</v>
      </c>
      <c r="AN3" s="10">
        <f t="shared" si="0"/>
        <v>19.065407409299997</v>
      </c>
      <c r="AO3" s="10">
        <f t="shared" si="0"/>
        <v>18.8537908393</v>
      </c>
      <c r="AP3" s="10">
        <f t="shared" si="0"/>
        <v>19.439492201799997</v>
      </c>
      <c r="AQ3" s="10">
        <f t="shared" si="0"/>
        <v>19.812883150900003</v>
      </c>
      <c r="AR3" s="10">
        <f t="shared" si="0"/>
        <v>19.990756019199999</v>
      </c>
      <c r="AS3" s="10">
        <f t="shared" si="0"/>
        <v>20.585528891099997</v>
      </c>
      <c r="AT3" s="10">
        <f t="shared" si="0"/>
        <v>21.0976480701</v>
      </c>
      <c r="AU3" s="10">
        <f t="shared" si="0"/>
        <v>21.300011704500001</v>
      </c>
      <c r="AV3" s="10">
        <f t="shared" si="0"/>
        <v>21.752163025400002</v>
      </c>
      <c r="AW3" s="10">
        <f t="shared" si="0"/>
        <v>20.276838589599997</v>
      </c>
      <c r="AX3" s="10">
        <f t="shared" si="0"/>
        <v>20.758073368150001</v>
      </c>
      <c r="AY3" s="10">
        <f t="shared" si="0"/>
        <v>20.123121706800003</v>
      </c>
      <c r="AZ3" s="10">
        <f t="shared" si="0"/>
        <v>20.193137439299999</v>
      </c>
      <c r="BA3" s="10">
        <f t="shared" si="0"/>
        <v>20.03537</v>
      </c>
      <c r="BB3" s="10">
        <f t="shared" si="0"/>
        <v>19.480129999999999</v>
      </c>
      <c r="BC3" s="10">
        <f t="shared" ref="BC3:BE6" si="1">BD21</f>
        <v>18.702750000000002</v>
      </c>
      <c r="BD3" s="10">
        <f t="shared" si="1"/>
        <v>18.759763172162501</v>
      </c>
      <c r="BE3" s="10">
        <f t="shared" si="1"/>
        <v>0</v>
      </c>
    </row>
    <row r="4" spans="1:57" s="73" customFormat="1" x14ac:dyDescent="0.25">
      <c r="A4" s="9">
        <v>2</v>
      </c>
      <c r="B4" s="73" t="s">
        <v>194</v>
      </c>
      <c r="C4" s="73">
        <f t="shared" si="0"/>
        <v>226566.02968000001</v>
      </c>
      <c r="D4" s="73">
        <f t="shared" si="0"/>
        <v>230214.32474000001</v>
      </c>
      <c r="E4" s="73">
        <f t="shared" si="0"/>
        <v>252310.16644999999</v>
      </c>
      <c r="F4" s="73">
        <f t="shared" si="0"/>
        <v>275327.75248999998</v>
      </c>
      <c r="G4" s="73">
        <f t="shared" si="0"/>
        <v>300629.29479000001</v>
      </c>
      <c r="H4" s="73">
        <f t="shared" si="0"/>
        <v>327393.00871000002</v>
      </c>
      <c r="I4" s="73">
        <f t="shared" si="0"/>
        <v>339046.07990999997</v>
      </c>
      <c r="J4" s="73">
        <f t="shared" si="0"/>
        <v>350715.13215000002</v>
      </c>
      <c r="K4" s="73">
        <f t="shared" si="0"/>
        <v>362795.31047000003</v>
      </c>
      <c r="L4" s="73">
        <f t="shared" si="0"/>
        <v>355397.11705</v>
      </c>
      <c r="M4" s="73">
        <f t="shared" si="0"/>
        <v>311291.83750999998</v>
      </c>
      <c r="N4" s="73">
        <f t="shared" si="0"/>
        <v>273953.03363999998</v>
      </c>
      <c r="O4" s="73">
        <f t="shared" si="0"/>
        <v>226421.02916999999</v>
      </c>
      <c r="P4" s="73">
        <f t="shared" si="0"/>
        <v>256761.06294</v>
      </c>
      <c r="Q4" s="73">
        <f t="shared" si="0"/>
        <v>217510.20634</v>
      </c>
      <c r="R4" s="73">
        <f t="shared" si="0"/>
        <v>197160.45326000001</v>
      </c>
      <c r="S4" s="73">
        <f t="shared" si="0"/>
        <v>245318.02136000001</v>
      </c>
      <c r="T4" s="73">
        <f t="shared" si="0"/>
        <v>189727.64772000001</v>
      </c>
      <c r="U4" s="73">
        <f t="shared" si="0"/>
        <v>209720.16204</v>
      </c>
      <c r="V4" s="73">
        <f t="shared" si="0"/>
        <v>240709.43595000001</v>
      </c>
      <c r="W4" s="73">
        <f t="shared" si="0"/>
        <v>235709.99199000001</v>
      </c>
      <c r="X4" s="73">
        <f t="shared" si="0"/>
        <v>210368.14569999999</v>
      </c>
      <c r="Y4" s="73">
        <f t="shared" si="0"/>
        <v>217255.68145</v>
      </c>
      <c r="Z4" s="73">
        <f t="shared" si="0"/>
        <v>232599.99341</v>
      </c>
      <c r="AA4" s="73">
        <f t="shared" si="0"/>
        <v>270157.56962000002</v>
      </c>
      <c r="AB4" s="73">
        <f t="shared" si="0"/>
        <v>256210.44200000001</v>
      </c>
      <c r="AC4" s="73">
        <f t="shared" si="0"/>
        <v>275041.89600000001</v>
      </c>
      <c r="AD4" s="73">
        <f t="shared" si="0"/>
        <v>288900.91360999999</v>
      </c>
      <c r="AE4" s="73">
        <f t="shared" si="0"/>
        <v>301217.46286999999</v>
      </c>
      <c r="AF4" s="73">
        <f t="shared" si="0"/>
        <v>295785.10012000002</v>
      </c>
      <c r="AG4" s="73">
        <f t="shared" si="0"/>
        <v>286482.46110999997</v>
      </c>
      <c r="AH4" s="73">
        <f t="shared" si="0"/>
        <v>274761.37224</v>
      </c>
      <c r="AI4" s="73">
        <f t="shared" si="0"/>
        <v>247492.51899000001</v>
      </c>
      <c r="AJ4" s="73">
        <f t="shared" si="0"/>
        <v>261730.40594</v>
      </c>
      <c r="AK4" s="73">
        <f t="shared" si="0"/>
        <v>268862.39121999999</v>
      </c>
      <c r="AL4" s="73">
        <f t="shared" si="0"/>
        <v>289561.84881</v>
      </c>
      <c r="AM4" s="73">
        <f t="shared" si="0"/>
        <v>292476.30895999999</v>
      </c>
      <c r="AN4" s="73">
        <f t="shared" si="0"/>
        <v>289685.97154</v>
      </c>
      <c r="AO4" s="73">
        <f t="shared" si="0"/>
        <v>303895.7464</v>
      </c>
      <c r="AP4" s="73">
        <f t="shared" si="0"/>
        <v>305186.49076999997</v>
      </c>
      <c r="AQ4" s="73">
        <f t="shared" si="0"/>
        <v>312161.68278999999</v>
      </c>
      <c r="AR4" s="73">
        <f t="shared" si="0"/>
        <v>318850.90356000001</v>
      </c>
      <c r="AS4" s="73">
        <f t="shared" si="0"/>
        <v>325833.74917999998</v>
      </c>
      <c r="AT4" s="73">
        <f t="shared" si="0"/>
        <v>329590.48955</v>
      </c>
      <c r="AU4" s="73">
        <f t="shared" si="0"/>
        <v>327238.97633999999</v>
      </c>
      <c r="AV4" s="73">
        <f t="shared" si="0"/>
        <v>329303.60051000002</v>
      </c>
      <c r="AW4" s="73">
        <f t="shared" si="0"/>
        <v>324657.46837000002</v>
      </c>
      <c r="AX4" s="73">
        <f t="shared" si="0"/>
        <v>327978.95606</v>
      </c>
      <c r="AY4" s="73">
        <f t="shared" si="0"/>
        <v>309294</v>
      </c>
      <c r="AZ4" s="73">
        <f t="shared" si="0"/>
        <v>266860</v>
      </c>
      <c r="BA4" s="73">
        <f t="shared" si="0"/>
        <v>266067</v>
      </c>
      <c r="BB4" s="73">
        <f t="shared" si="0"/>
        <v>241190</v>
      </c>
      <c r="BC4" s="73">
        <f t="shared" si="1"/>
        <v>192400</v>
      </c>
      <c r="BD4" s="73">
        <f t="shared" si="1"/>
        <v>0</v>
      </c>
      <c r="BE4" s="73">
        <f t="shared" si="1"/>
        <v>-0.20228865210000413</v>
      </c>
    </row>
    <row r="5" spans="1:57" s="73" customFormat="1" x14ac:dyDescent="0.25">
      <c r="A5" s="9">
        <v>3</v>
      </c>
      <c r="B5" s="73" t="s">
        <v>195</v>
      </c>
      <c r="C5" s="73">
        <f t="shared" si="0"/>
        <v>73315.405559999999</v>
      </c>
      <c r="D5" s="73">
        <f t="shared" si="0"/>
        <v>76519.620880000002</v>
      </c>
      <c r="E5" s="73">
        <f t="shared" si="0"/>
        <v>84795.735010000004</v>
      </c>
      <c r="F5" s="73">
        <f t="shared" si="0"/>
        <v>89003.732440000007</v>
      </c>
      <c r="G5" s="73">
        <f t="shared" si="0"/>
        <v>94255.095329999996</v>
      </c>
      <c r="H5" s="73">
        <f t="shared" si="0"/>
        <v>100978.99612</v>
      </c>
      <c r="I5" s="73">
        <f t="shared" si="0"/>
        <v>102825.73104</v>
      </c>
      <c r="J5" s="73">
        <f t="shared" si="0"/>
        <v>121286.74304</v>
      </c>
      <c r="K5" s="73">
        <f t="shared" si="0"/>
        <v>129701.78866999999</v>
      </c>
      <c r="L5" s="73">
        <f t="shared" si="0"/>
        <v>147719.70048</v>
      </c>
      <c r="M5" s="73">
        <f t="shared" si="0"/>
        <v>159583.77721999999</v>
      </c>
      <c r="N5" s="73">
        <f t="shared" si="0"/>
        <v>164689.46539999999</v>
      </c>
      <c r="O5" s="73">
        <f t="shared" si="0"/>
        <v>180283.10870000001</v>
      </c>
      <c r="P5" s="73">
        <f t="shared" si="0"/>
        <v>177629.41164000001</v>
      </c>
      <c r="Q5" s="73">
        <f t="shared" si="0"/>
        <v>175541.43695999999</v>
      </c>
      <c r="R5" s="73">
        <f t="shared" si="0"/>
        <v>141853.71567999999</v>
      </c>
      <c r="S5" s="73">
        <f t="shared" si="0"/>
        <v>149642.35399999999</v>
      </c>
      <c r="T5" s="73">
        <f t="shared" si="0"/>
        <v>135167.71849</v>
      </c>
      <c r="U5" s="73">
        <f t="shared" si="0"/>
        <v>139641.94441</v>
      </c>
      <c r="V5" s="73">
        <f t="shared" si="0"/>
        <v>179631.26561</v>
      </c>
      <c r="W5" s="73">
        <f t="shared" si="0"/>
        <v>163449.12377999999</v>
      </c>
      <c r="X5" s="73">
        <f t="shared" si="0"/>
        <v>177743.41104000001</v>
      </c>
      <c r="Y5" s="73">
        <f t="shared" si="0"/>
        <v>160833.48202</v>
      </c>
      <c r="Z5" s="73">
        <f t="shared" si="0"/>
        <v>148686.56883</v>
      </c>
      <c r="AA5" s="73">
        <f t="shared" si="0"/>
        <v>163124.31865999999</v>
      </c>
      <c r="AB5" s="73">
        <f t="shared" si="0"/>
        <v>155966.18077000001</v>
      </c>
      <c r="AC5" s="73">
        <f t="shared" si="0"/>
        <v>158032.28434000001</v>
      </c>
      <c r="AD5" s="73">
        <f t="shared" si="0"/>
        <v>174283.23123</v>
      </c>
      <c r="AE5" s="73">
        <f t="shared" si="0"/>
        <v>178433.40372</v>
      </c>
      <c r="AF5" s="73">
        <f t="shared" si="0"/>
        <v>199615.14593</v>
      </c>
      <c r="AG5" s="73">
        <f t="shared" si="0"/>
        <v>180590.50143</v>
      </c>
      <c r="AH5" s="73">
        <f t="shared" si="0"/>
        <v>183034.72521999999</v>
      </c>
      <c r="AI5" s="73">
        <f t="shared" si="0"/>
        <v>190092.34140999999</v>
      </c>
      <c r="AJ5" s="73">
        <f t="shared" si="0"/>
        <v>186992.34246000001</v>
      </c>
      <c r="AK5" s="73">
        <f t="shared" si="0"/>
        <v>192015.52294</v>
      </c>
      <c r="AL5" s="73">
        <f t="shared" si="0"/>
        <v>199201.55403</v>
      </c>
      <c r="AM5" s="73">
        <f t="shared" si="0"/>
        <v>201734.64176999999</v>
      </c>
      <c r="AN5" s="73">
        <f t="shared" si="0"/>
        <v>219192.05003000001</v>
      </c>
      <c r="AO5" s="73">
        <f t="shared" si="0"/>
        <v>195539.78294999999</v>
      </c>
      <c r="AP5" s="73">
        <f t="shared" si="0"/>
        <v>203039.59030000001</v>
      </c>
      <c r="AQ5" s="73">
        <f t="shared" si="0"/>
        <v>219360.2028</v>
      </c>
      <c r="AR5" s="73">
        <f t="shared" si="0"/>
        <v>184976.00636999999</v>
      </c>
      <c r="AS5" s="73">
        <f t="shared" si="0"/>
        <v>203538.27111</v>
      </c>
      <c r="AT5" s="73">
        <f t="shared" si="0"/>
        <v>204510.63381999999</v>
      </c>
      <c r="AU5" s="73">
        <f t="shared" si="0"/>
        <v>201929.35006</v>
      </c>
      <c r="AV5" s="73">
        <f t="shared" si="0"/>
        <v>212229.89420000001</v>
      </c>
      <c r="AW5" s="73">
        <f t="shared" si="0"/>
        <v>189221.44190999999</v>
      </c>
      <c r="AX5" s="73">
        <f t="shared" si="0"/>
        <v>208693</v>
      </c>
      <c r="AY5" s="73">
        <f t="shared" si="0"/>
        <v>202931</v>
      </c>
      <c r="AZ5" s="73">
        <f t="shared" si="0"/>
        <v>203780</v>
      </c>
      <c r="BA5" s="73">
        <f t="shared" si="0"/>
        <v>217744</v>
      </c>
      <c r="BB5" s="73">
        <f t="shared" si="0"/>
        <v>199170</v>
      </c>
      <c r="BC5" s="73">
        <f t="shared" si="1"/>
        <v>216700</v>
      </c>
      <c r="BD5" s="73">
        <f t="shared" si="1"/>
        <v>0</v>
      </c>
      <c r="BE5" s="73">
        <f t="shared" si="1"/>
        <v>8.8015263342873018E-2</v>
      </c>
    </row>
    <row r="6" spans="1:57" s="73" customFormat="1" x14ac:dyDescent="0.25">
      <c r="A6" s="9">
        <v>4</v>
      </c>
      <c r="B6" s="73" t="s">
        <v>196</v>
      </c>
      <c r="C6" s="73">
        <f t="shared" si="0"/>
        <v>353293</v>
      </c>
      <c r="D6" s="73">
        <f t="shared" si="0"/>
        <v>348291</v>
      </c>
      <c r="E6" s="73">
        <f t="shared" si="0"/>
        <v>369798</v>
      </c>
      <c r="F6" s="73">
        <f t="shared" si="0"/>
        <v>374135</v>
      </c>
      <c r="G6" s="73">
        <f t="shared" si="0"/>
        <v>391729</v>
      </c>
      <c r="H6" s="73">
        <f t="shared" si="0"/>
        <v>410386</v>
      </c>
      <c r="I6" s="73">
        <f t="shared" si="0"/>
        <v>432689</v>
      </c>
      <c r="J6" s="73">
        <f t="shared" si="0"/>
        <v>412962</v>
      </c>
      <c r="K6" s="73">
        <f t="shared" si="0"/>
        <v>439144</v>
      </c>
      <c r="L6" s="73">
        <f t="shared" si="0"/>
        <v>465137</v>
      </c>
      <c r="M6" s="73">
        <f t="shared" si="0"/>
        <v>528963</v>
      </c>
      <c r="N6" s="73">
        <f t="shared" si="0"/>
        <v>587909</v>
      </c>
      <c r="O6" s="73">
        <f t="shared" si="0"/>
        <v>650963</v>
      </c>
      <c r="P6" s="73">
        <f t="shared" si="0"/>
        <v>695344</v>
      </c>
      <c r="Q6" s="73">
        <f t="shared" si="0"/>
        <v>671759</v>
      </c>
      <c r="R6" s="73">
        <f t="shared" si="0"/>
        <v>593744</v>
      </c>
      <c r="S6" s="73">
        <f t="shared" si="0"/>
        <v>607423</v>
      </c>
      <c r="T6" s="73">
        <f t="shared" si="0"/>
        <v>617824</v>
      </c>
      <c r="U6" s="73">
        <f t="shared" si="0"/>
        <v>627558</v>
      </c>
      <c r="V6" s="73">
        <f t="shared" si="0"/>
        <v>601001</v>
      </c>
      <c r="W6" s="73">
        <f t="shared" si="0"/>
        <v>533066</v>
      </c>
      <c r="X6" s="73">
        <f t="shared" si="0"/>
        <v>496729</v>
      </c>
      <c r="Y6" s="73">
        <f t="shared" si="0"/>
        <v>472197</v>
      </c>
      <c r="Z6" s="73">
        <f t="shared" si="0"/>
        <v>486336</v>
      </c>
      <c r="AA6" s="73">
        <f t="shared" si="0"/>
        <v>518002</v>
      </c>
      <c r="AB6" s="73">
        <f t="shared" si="0"/>
        <v>484683</v>
      </c>
      <c r="AC6" s="73">
        <f t="shared" si="0"/>
        <v>485990</v>
      </c>
      <c r="AD6" s="73">
        <f t="shared" si="0"/>
        <v>516303</v>
      </c>
      <c r="AE6" s="73">
        <f t="shared" si="0"/>
        <v>533837</v>
      </c>
      <c r="AF6" s="73">
        <f t="shared" si="0"/>
        <v>571920</v>
      </c>
      <c r="AG6" s="73">
        <f t="shared" si="0"/>
        <v>505878</v>
      </c>
      <c r="AH6" s="73">
        <f t="shared" si="0"/>
        <v>492641</v>
      </c>
      <c r="AI6" s="73">
        <f t="shared" si="0"/>
        <v>494480</v>
      </c>
      <c r="AJ6" s="73">
        <f t="shared" si="0"/>
        <v>519585</v>
      </c>
      <c r="AK6" s="73">
        <f t="shared" si="0"/>
        <v>521706</v>
      </c>
      <c r="AL6" s="73">
        <f t="shared" si="0"/>
        <v>483522</v>
      </c>
      <c r="AM6" s="73">
        <f t="shared" si="0"/>
        <v>503267</v>
      </c>
      <c r="AN6" s="73">
        <f t="shared" si="0"/>
        <v>510436</v>
      </c>
      <c r="AO6" s="73">
        <f t="shared" si="0"/>
        <v>543711</v>
      </c>
      <c r="AP6" s="73">
        <f t="shared" si="0"/>
        <v>569281</v>
      </c>
      <c r="AQ6" s="73">
        <f t="shared" si="0"/>
        <v>547966</v>
      </c>
      <c r="AR6" s="73">
        <f t="shared" si="0"/>
        <v>567195</v>
      </c>
      <c r="AS6" s="73">
        <f t="shared" si="0"/>
        <v>548454</v>
      </c>
      <c r="AT6" s="73">
        <f t="shared" si="0"/>
        <v>567921</v>
      </c>
      <c r="AU6" s="73">
        <f t="shared" si="0"/>
        <v>593018</v>
      </c>
      <c r="AV6" s="73">
        <f t="shared" si="0"/>
        <v>611911</v>
      </c>
      <c r="AW6" s="73">
        <f t="shared" si="0"/>
        <v>555167</v>
      </c>
      <c r="AX6" s="73">
        <f t="shared" si="0"/>
        <v>554702</v>
      </c>
      <c r="AY6" s="73">
        <f t="shared" si="0"/>
        <v>530782</v>
      </c>
      <c r="AZ6" s="73">
        <f t="shared" si="0"/>
        <v>540156</v>
      </c>
      <c r="BA6" s="73">
        <f t="shared" si="0"/>
        <v>517982</v>
      </c>
      <c r="BB6" s="73">
        <f t="shared" si="0"/>
        <v>498362</v>
      </c>
      <c r="BC6" s="73">
        <f t="shared" si="1"/>
        <v>486900</v>
      </c>
      <c r="BD6" s="73">
        <f t="shared" si="1"/>
        <v>0</v>
      </c>
      <c r="BE6" s="73">
        <f t="shared" si="1"/>
        <v>-2.2999345857027675E-2</v>
      </c>
    </row>
    <row r="7" spans="1:57" s="73" customFormat="1" x14ac:dyDescent="0.25">
      <c r="A7" s="9">
        <v>5</v>
      </c>
      <c r="B7" s="73" t="s">
        <v>197</v>
      </c>
      <c r="C7" s="73">
        <f t="shared" ref="C7:AZ7" si="2">C35</f>
        <v>11395278902.200001</v>
      </c>
      <c r="D7" s="73">
        <f t="shared" si="2"/>
        <v>11331188058</v>
      </c>
      <c r="E7" s="73">
        <f t="shared" si="2"/>
        <v>12148865334.400002</v>
      </c>
      <c r="F7" s="73">
        <f t="shared" si="2"/>
        <v>12461058654.200001</v>
      </c>
      <c r="G7" s="73">
        <f t="shared" si="2"/>
        <v>13156330093.200001</v>
      </c>
      <c r="H7" s="73">
        <f t="shared" si="2"/>
        <v>13563014693.6</v>
      </c>
      <c r="I7" s="73">
        <f t="shared" si="2"/>
        <v>13944655898.799999</v>
      </c>
      <c r="J7" s="73">
        <f t="shared" si="2"/>
        <v>13913981782.200001</v>
      </c>
      <c r="K7" s="73">
        <f t="shared" si="2"/>
        <v>14526751760</v>
      </c>
      <c r="L7" s="73">
        <f t="shared" si="2"/>
        <v>15178165182.199999</v>
      </c>
      <c r="M7" s="73">
        <f t="shared" si="2"/>
        <v>15473737951.6</v>
      </c>
      <c r="N7" s="73">
        <f t="shared" si="2"/>
        <v>15851159358.199999</v>
      </c>
      <c r="O7" s="73">
        <f t="shared" si="2"/>
        <v>15956023787.199999</v>
      </c>
      <c r="P7" s="73">
        <f t="shared" si="2"/>
        <v>17257213615.799999</v>
      </c>
      <c r="Q7" s="73">
        <f t="shared" si="2"/>
        <v>15561117098.4</v>
      </c>
      <c r="R7" s="73">
        <f t="shared" si="2"/>
        <v>14421850118.000002</v>
      </c>
      <c r="S7" s="73">
        <f t="shared" si="2"/>
        <v>15340209884</v>
      </c>
      <c r="T7" s="73">
        <f t="shared" si="2"/>
        <v>14546388392</v>
      </c>
      <c r="U7" s="73">
        <f t="shared" si="2"/>
        <v>14693931089</v>
      </c>
      <c r="V7" s="73">
        <f t="shared" si="2"/>
        <v>15776378743.599998</v>
      </c>
      <c r="W7" s="73">
        <f t="shared" si="2"/>
        <v>14459488188.4</v>
      </c>
      <c r="X7" s="73">
        <f t="shared" si="2"/>
        <v>14105256057</v>
      </c>
      <c r="Y7" s="73">
        <f t="shared" si="2"/>
        <v>13289869750.599998</v>
      </c>
      <c r="Z7" s="73">
        <f t="shared" si="2"/>
        <v>13356756899</v>
      </c>
      <c r="AA7" s="73">
        <f t="shared" si="2"/>
        <v>14496020259.400002</v>
      </c>
      <c r="AB7" s="73">
        <f t="shared" si="2"/>
        <v>13598385468</v>
      </c>
      <c r="AC7" s="73">
        <f t="shared" si="2"/>
        <v>13672505611</v>
      </c>
      <c r="AD7" s="73">
        <f t="shared" si="2"/>
        <v>14530157130.200001</v>
      </c>
      <c r="AE7" s="73">
        <f t="shared" si="2"/>
        <v>14711920090.199999</v>
      </c>
      <c r="AF7" s="73">
        <f t="shared" si="2"/>
        <v>14714389060.000002</v>
      </c>
      <c r="AG7" s="73">
        <f t="shared" si="2"/>
        <v>13524981730.199999</v>
      </c>
      <c r="AH7" s="73">
        <f t="shared" si="2"/>
        <v>13139572158.200001</v>
      </c>
      <c r="AI7" s="73">
        <f t="shared" si="2"/>
        <v>13046515922</v>
      </c>
      <c r="AJ7" s="73">
        <f t="shared" si="2"/>
        <v>13261415029.600002</v>
      </c>
      <c r="AK7" s="73">
        <f t="shared" si="2"/>
        <v>13342586661.200001</v>
      </c>
      <c r="AL7" s="73">
        <f t="shared" si="2"/>
        <v>13430115774.4</v>
      </c>
      <c r="AM7" s="73">
        <f t="shared" si="2"/>
        <v>13888619406.200001</v>
      </c>
      <c r="AN7" s="73">
        <f t="shared" si="2"/>
        <v>14281247521.799997</v>
      </c>
      <c r="AO7" s="73">
        <f t="shared" si="2"/>
        <v>13945574501.799999</v>
      </c>
      <c r="AP7" s="73">
        <f t="shared" si="2"/>
        <v>14394064751.799997</v>
      </c>
      <c r="AQ7" s="73">
        <f t="shared" si="2"/>
        <v>14655179463.4</v>
      </c>
      <c r="AR7" s="73">
        <f t="shared" si="2"/>
        <v>14700812094.200001</v>
      </c>
      <c r="AS7" s="73">
        <f t="shared" si="2"/>
        <v>14747623653.6</v>
      </c>
      <c r="AT7" s="73">
        <f t="shared" si="2"/>
        <v>15094133157.599998</v>
      </c>
      <c r="AU7" s="73">
        <f t="shared" si="2"/>
        <v>15666396042</v>
      </c>
      <c r="AV7" s="73">
        <f t="shared" si="2"/>
        <v>15919260250.4</v>
      </c>
      <c r="AW7" s="73">
        <f t="shared" si="2"/>
        <v>14933312639.6</v>
      </c>
      <c r="AX7" s="73">
        <f t="shared" si="2"/>
        <v>15180959558.4</v>
      </c>
      <c r="AY7" s="73">
        <f t="shared" si="2"/>
        <v>14754847956.800001</v>
      </c>
      <c r="AZ7" s="73">
        <f t="shared" si="2"/>
        <v>14881854801.799999</v>
      </c>
      <c r="BA7" s="73">
        <f>BA35</f>
        <v>14464420000</v>
      </c>
      <c r="BB7" s="73">
        <f>BB35</f>
        <v>13909180000</v>
      </c>
      <c r="BC7" s="73">
        <f>BD35</f>
        <v>13444000000</v>
      </c>
      <c r="BD7" s="73">
        <f>BE35</f>
        <v>13690000000.000002</v>
      </c>
      <c r="BE7" s="73">
        <f>BF35</f>
        <v>-3.344409950838223E-2</v>
      </c>
    </row>
    <row r="8" spans="1:57" s="73" customFormat="1" x14ac:dyDescent="0.25">
      <c r="A8" s="9">
        <v>6</v>
      </c>
      <c r="B8" s="73" t="s">
        <v>198</v>
      </c>
      <c r="C8" s="73">
        <f t="shared" ref="C8:AZ8" si="3">C39</f>
        <v>647374985.25</v>
      </c>
      <c r="D8" s="73">
        <f t="shared" si="3"/>
        <v>721720334.12499988</v>
      </c>
      <c r="E8" s="73">
        <f t="shared" si="3"/>
        <v>782681364.5</v>
      </c>
      <c r="F8" s="73">
        <f t="shared" si="3"/>
        <v>876436241.62500012</v>
      </c>
      <c r="G8" s="73">
        <f t="shared" si="3"/>
        <v>968141674.49999976</v>
      </c>
      <c r="H8" s="73">
        <f t="shared" si="3"/>
        <v>1072167439.8749999</v>
      </c>
      <c r="I8" s="73">
        <f t="shared" si="3"/>
        <v>1204570154.3749998</v>
      </c>
      <c r="J8" s="73">
        <f t="shared" si="3"/>
        <v>1272692050</v>
      </c>
      <c r="K8" s="73">
        <f t="shared" si="3"/>
        <v>1462391520.625</v>
      </c>
      <c r="L8" s="73">
        <f t="shared" si="3"/>
        <v>1651957132</v>
      </c>
      <c r="M8" s="73">
        <f t="shared" si="3"/>
        <v>1802424050</v>
      </c>
      <c r="N8" s="73">
        <f t="shared" si="3"/>
        <v>1959714137.4999998</v>
      </c>
      <c r="O8" s="73">
        <f t="shared" si="3"/>
        <v>2011100262.4999998</v>
      </c>
      <c r="P8" s="73">
        <f t="shared" si="3"/>
        <v>2237757462.5</v>
      </c>
      <c r="Q8" s="73">
        <f t="shared" si="3"/>
        <v>2178042737.4999995</v>
      </c>
      <c r="R8" s="73">
        <f t="shared" si="3"/>
        <v>2186671550</v>
      </c>
      <c r="S8" s="73">
        <f t="shared" si="3"/>
        <v>2436274225</v>
      </c>
      <c r="T8" s="73">
        <f t="shared" si="3"/>
        <v>2577917825</v>
      </c>
      <c r="U8" s="73">
        <f t="shared" si="3"/>
        <v>2687548150</v>
      </c>
      <c r="V8" s="73">
        <f t="shared" si="3"/>
        <v>2737605850</v>
      </c>
      <c r="W8" s="73">
        <f t="shared" si="3"/>
        <v>2915180099.9999995</v>
      </c>
      <c r="X8" s="73">
        <f t="shared" si="3"/>
        <v>2988771800</v>
      </c>
      <c r="Y8" s="73">
        <f t="shared" si="3"/>
        <v>2940536287.5</v>
      </c>
      <c r="Z8" s="73">
        <f t="shared" si="3"/>
        <v>3055162950</v>
      </c>
      <c r="AA8" s="73">
        <f t="shared" si="3"/>
        <v>3180776025</v>
      </c>
      <c r="AB8" s="73">
        <f t="shared" si="3"/>
        <v>3307752525</v>
      </c>
      <c r="AC8" s="73">
        <f t="shared" si="3"/>
        <v>3507400400</v>
      </c>
      <c r="AD8" s="73">
        <f t="shared" si="3"/>
        <v>3788399037.4999995</v>
      </c>
      <c r="AE8" s="73">
        <f t="shared" si="3"/>
        <v>4045690949.9999995</v>
      </c>
      <c r="AF8" s="73">
        <f t="shared" si="3"/>
        <v>4154562999.9999995</v>
      </c>
      <c r="AG8" s="73">
        <f t="shared" si="3"/>
        <v>4133046750.0000005</v>
      </c>
      <c r="AH8" s="73">
        <f t="shared" si="3"/>
        <v>4348795675</v>
      </c>
      <c r="AI8" s="73">
        <f t="shared" si="3"/>
        <v>4301861287.5</v>
      </c>
      <c r="AJ8" s="73">
        <f t="shared" si="3"/>
        <v>4568736637.5</v>
      </c>
      <c r="AK8" s="73">
        <f t="shared" si="3"/>
        <v>4614932612.5</v>
      </c>
      <c r="AL8" s="73">
        <f t="shared" si="3"/>
        <v>4787653412.5</v>
      </c>
      <c r="AM8" s="73">
        <f t="shared" si="3"/>
        <v>4772254987.499999</v>
      </c>
      <c r="AN8" s="73">
        <f t="shared" si="3"/>
        <v>4784159887.5</v>
      </c>
      <c r="AO8" s="73">
        <f t="shared" si="3"/>
        <v>4908216337.5</v>
      </c>
      <c r="AP8" s="73">
        <f t="shared" si="3"/>
        <v>5045427450</v>
      </c>
      <c r="AQ8" s="73">
        <f t="shared" si="3"/>
        <v>5157703687.5</v>
      </c>
      <c r="AR8" s="73">
        <f t="shared" si="3"/>
        <v>5289943924.999999</v>
      </c>
      <c r="AS8" s="73">
        <f t="shared" si="3"/>
        <v>5837905237.5</v>
      </c>
      <c r="AT8" s="73">
        <f t="shared" si="3"/>
        <v>6003514912.5</v>
      </c>
      <c r="AU8" s="73">
        <f t="shared" si="3"/>
        <v>5633615662.5</v>
      </c>
      <c r="AV8" s="73">
        <f t="shared" si="3"/>
        <v>5832902775</v>
      </c>
      <c r="AW8" s="73">
        <f t="shared" si="3"/>
        <v>5343525949.999999</v>
      </c>
      <c r="AX8" s="73">
        <f t="shared" si="3"/>
        <v>5577113809.75</v>
      </c>
      <c r="AY8" s="73">
        <f t="shared" si="3"/>
        <v>5368273750</v>
      </c>
      <c r="AZ8" s="73">
        <f t="shared" si="3"/>
        <v>5311282637.5</v>
      </c>
      <c r="BA8" s="73">
        <f>BA39</f>
        <v>5570950000</v>
      </c>
      <c r="BB8" s="73">
        <f>BB39</f>
        <v>5570950000</v>
      </c>
      <c r="BC8" s="73">
        <f>BD39</f>
        <v>5258750000</v>
      </c>
      <c r="BD8" s="73">
        <f>BE39</f>
        <v>5069763172.1624994</v>
      </c>
      <c r="BE8" s="73">
        <f>BF39</f>
        <v>0</v>
      </c>
    </row>
    <row r="9" spans="1:57" x14ac:dyDescent="0.25">
      <c r="AY9" s="13"/>
      <c r="AZ9" s="13"/>
      <c r="BA9" s="13"/>
      <c r="BB9" s="13"/>
      <c r="BC9" s="13"/>
    </row>
    <row r="10" spans="1:57" x14ac:dyDescent="0.25">
      <c r="A10" s="130" t="s">
        <v>4</v>
      </c>
      <c r="B10" s="130"/>
      <c r="AY10" s="30"/>
      <c r="AZ10" s="13"/>
      <c r="BA10" s="75"/>
      <c r="BB10" s="75"/>
      <c r="BC10" s="75"/>
    </row>
    <row r="11" spans="1:57" x14ac:dyDescent="0.25">
      <c r="A11" s="7">
        <v>1</v>
      </c>
      <c r="B11" s="7" t="s">
        <v>199</v>
      </c>
      <c r="AY11" s="13"/>
      <c r="AZ11" s="13"/>
    </row>
    <row r="12" spans="1:57" x14ac:dyDescent="0.25">
      <c r="A12" s="7">
        <v>2</v>
      </c>
      <c r="B12" s="7" t="s">
        <v>200</v>
      </c>
      <c r="AY12" s="13"/>
      <c r="AZ12" s="13"/>
    </row>
    <row r="13" spans="1:57" x14ac:dyDescent="0.25">
      <c r="A13" s="7">
        <v>3</v>
      </c>
      <c r="B13" s="7" t="s">
        <v>200</v>
      </c>
    </row>
    <row r="14" spans="1:57" x14ac:dyDescent="0.25">
      <c r="A14" s="7">
        <v>4</v>
      </c>
      <c r="B14" s="7" t="s">
        <v>200</v>
      </c>
    </row>
    <row r="15" spans="1:57" x14ac:dyDescent="0.25">
      <c r="A15" s="7">
        <v>5</v>
      </c>
      <c r="B15" s="7" t="s">
        <v>201</v>
      </c>
    </row>
    <row r="16" spans="1:57" x14ac:dyDescent="0.25">
      <c r="A16" s="7">
        <v>6</v>
      </c>
      <c r="B16" s="7" t="s">
        <v>202</v>
      </c>
    </row>
    <row r="19" spans="1:60" s="50" customFormat="1" ht="15" x14ac:dyDescent="0.3">
      <c r="A19" s="130" t="s">
        <v>7</v>
      </c>
      <c r="B19" s="130"/>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row>
    <row r="20" spans="1:60" ht="14" thickBot="1" x14ac:dyDescent="0.3">
      <c r="BF20" s="7" t="s">
        <v>153</v>
      </c>
    </row>
    <row r="21" spans="1:60" s="11" customFormat="1" x14ac:dyDescent="0.25">
      <c r="A21" s="11">
        <v>1</v>
      </c>
      <c r="B21" s="11" t="s">
        <v>203</v>
      </c>
      <c r="C21" s="37">
        <f t="shared" ref="C21:BA21" si="4">(C39+C35)/1000000000</f>
        <v>12.042653887450001</v>
      </c>
      <c r="D21" s="37">
        <f t="shared" si="4"/>
        <v>12.052908392125</v>
      </c>
      <c r="E21" s="37">
        <f t="shared" si="4"/>
        <v>12.931546698900002</v>
      </c>
      <c r="F21" s="37">
        <f t="shared" si="4"/>
        <v>13.337494895825001</v>
      </c>
      <c r="G21" s="37">
        <f t="shared" si="4"/>
        <v>14.124471767700001</v>
      </c>
      <c r="H21" s="37">
        <f t="shared" si="4"/>
        <v>14.635182133475</v>
      </c>
      <c r="I21" s="37">
        <f t="shared" si="4"/>
        <v>15.149226053174999</v>
      </c>
      <c r="J21" s="37">
        <f t="shared" si="4"/>
        <v>15.1866738322</v>
      </c>
      <c r="K21" s="37">
        <f t="shared" si="4"/>
        <v>15.989143280624999</v>
      </c>
      <c r="L21" s="37">
        <f t="shared" si="4"/>
        <v>16.8301223142</v>
      </c>
      <c r="M21" s="37">
        <f t="shared" si="4"/>
        <v>17.276162001599999</v>
      </c>
      <c r="N21" s="37">
        <f t="shared" si="4"/>
        <v>17.810873495699997</v>
      </c>
      <c r="O21" s="37">
        <f t="shared" si="4"/>
        <v>17.967124049699997</v>
      </c>
      <c r="P21" s="37">
        <f t="shared" si="4"/>
        <v>19.494971078300001</v>
      </c>
      <c r="Q21" s="37">
        <f t="shared" si="4"/>
        <v>17.739159835899997</v>
      </c>
      <c r="R21" s="37">
        <f t="shared" si="4"/>
        <v>16.608521668000002</v>
      </c>
      <c r="S21" s="37">
        <f t="shared" si="4"/>
        <v>17.776484108999998</v>
      </c>
      <c r="T21" s="37">
        <f t="shared" si="4"/>
        <v>17.124306217000001</v>
      </c>
      <c r="U21" s="37">
        <f t="shared" si="4"/>
        <v>17.381479239000001</v>
      </c>
      <c r="V21" s="37">
        <f t="shared" si="4"/>
        <v>18.5139845936</v>
      </c>
      <c r="W21" s="37">
        <f t="shared" si="4"/>
        <v>17.374668288399999</v>
      </c>
      <c r="X21" s="37">
        <f t="shared" si="4"/>
        <v>17.094027857</v>
      </c>
      <c r="Y21" s="37">
        <f t="shared" si="4"/>
        <v>16.2304060381</v>
      </c>
      <c r="Z21" s="37">
        <f t="shared" si="4"/>
        <v>16.411919849</v>
      </c>
      <c r="AA21" s="37">
        <f t="shared" si="4"/>
        <v>17.676796284400002</v>
      </c>
      <c r="AB21" s="37">
        <f t="shared" si="4"/>
        <v>16.906137993000002</v>
      </c>
      <c r="AC21" s="37">
        <f t="shared" si="4"/>
        <v>17.179906011</v>
      </c>
      <c r="AD21" s="37">
        <f t="shared" si="4"/>
        <v>18.318556167700002</v>
      </c>
      <c r="AE21" s="37">
        <f t="shared" si="4"/>
        <v>18.757611040199997</v>
      </c>
      <c r="AF21" s="37">
        <f t="shared" si="4"/>
        <v>18.868952060000002</v>
      </c>
      <c r="AG21" s="37">
        <f t="shared" si="4"/>
        <v>17.658028480200002</v>
      </c>
      <c r="AH21" s="37">
        <f t="shared" si="4"/>
        <v>17.488367833200002</v>
      </c>
      <c r="AI21" s="37">
        <f t="shared" si="4"/>
        <v>17.348377209500001</v>
      </c>
      <c r="AJ21" s="37">
        <f t="shared" si="4"/>
        <v>17.830151667100001</v>
      </c>
      <c r="AK21" s="37">
        <f t="shared" si="4"/>
        <v>17.957519273700001</v>
      </c>
      <c r="AL21" s="37">
        <f t="shared" si="4"/>
        <v>18.2177691869</v>
      </c>
      <c r="AM21" s="37">
        <f t="shared" si="4"/>
        <v>18.660874393700002</v>
      </c>
      <c r="AN21" s="37">
        <f t="shared" si="4"/>
        <v>19.065407409299997</v>
      </c>
      <c r="AO21" s="37">
        <f t="shared" si="4"/>
        <v>18.8537908393</v>
      </c>
      <c r="AP21" s="37">
        <f t="shared" si="4"/>
        <v>19.439492201799997</v>
      </c>
      <c r="AQ21" s="37">
        <f t="shared" si="4"/>
        <v>19.812883150900003</v>
      </c>
      <c r="AR21" s="37">
        <f t="shared" si="4"/>
        <v>19.990756019199999</v>
      </c>
      <c r="AS21" s="37">
        <f t="shared" si="4"/>
        <v>20.585528891099997</v>
      </c>
      <c r="AT21" s="37">
        <f t="shared" si="4"/>
        <v>21.0976480701</v>
      </c>
      <c r="AU21" s="37">
        <f t="shared" si="4"/>
        <v>21.300011704500001</v>
      </c>
      <c r="AV21" s="112">
        <f t="shared" si="4"/>
        <v>21.752163025400002</v>
      </c>
      <c r="AW21" s="112">
        <f t="shared" si="4"/>
        <v>20.276838589599997</v>
      </c>
      <c r="AX21" s="112">
        <f t="shared" si="4"/>
        <v>20.758073368150001</v>
      </c>
      <c r="AY21" s="113">
        <f t="shared" si="4"/>
        <v>20.123121706800003</v>
      </c>
      <c r="AZ21" s="113">
        <f t="shared" si="4"/>
        <v>20.193137439299999</v>
      </c>
      <c r="BA21" s="113">
        <f t="shared" si="4"/>
        <v>20.03537</v>
      </c>
      <c r="BB21" s="112">
        <f>(BB39+BB35)/1000000000</f>
        <v>19.480129999999999</v>
      </c>
      <c r="BC21" s="11">
        <f>(BC39+BC35)/1000000000</f>
        <v>19.480129999999999</v>
      </c>
      <c r="BD21" s="77">
        <f>(BD39+BD35)/1000000000</f>
        <v>18.702750000000002</v>
      </c>
      <c r="BE21" s="77">
        <f>(BE39+BE35)/1000000000</f>
        <v>18.759763172162501</v>
      </c>
    </row>
    <row r="22" spans="1:60" s="11" customFormat="1" x14ac:dyDescent="0.25">
      <c r="A22" s="11">
        <v>2</v>
      </c>
      <c r="B22" s="11" t="s">
        <v>204</v>
      </c>
      <c r="C22" s="114">
        <v>226566.02968000001</v>
      </c>
      <c r="D22" s="114">
        <v>230214.32474000001</v>
      </c>
      <c r="E22" s="114">
        <v>252310.16644999999</v>
      </c>
      <c r="F22" s="114">
        <v>275327.75248999998</v>
      </c>
      <c r="G22" s="114">
        <v>300629.29479000001</v>
      </c>
      <c r="H22" s="114">
        <v>327393.00871000002</v>
      </c>
      <c r="I22" s="114">
        <v>339046.07990999997</v>
      </c>
      <c r="J22" s="114">
        <v>350715.13215000002</v>
      </c>
      <c r="K22" s="114">
        <v>362795.31047000003</v>
      </c>
      <c r="L22" s="114">
        <v>355397.11705</v>
      </c>
      <c r="M22" s="114">
        <v>311291.83750999998</v>
      </c>
      <c r="N22" s="114">
        <v>273953.03363999998</v>
      </c>
      <c r="O22" s="114">
        <v>226421.02916999999</v>
      </c>
      <c r="P22" s="114">
        <v>256761.06294</v>
      </c>
      <c r="Q22" s="114">
        <v>217510.20634</v>
      </c>
      <c r="R22" s="114">
        <v>197160.45326000001</v>
      </c>
      <c r="S22" s="114">
        <v>245318.02136000001</v>
      </c>
      <c r="T22" s="114">
        <v>189727.64772000001</v>
      </c>
      <c r="U22" s="114">
        <v>209720.16204</v>
      </c>
      <c r="V22" s="114">
        <v>240709.43595000001</v>
      </c>
      <c r="W22" s="114">
        <v>235709.99199000001</v>
      </c>
      <c r="X22" s="114">
        <v>210368.14569999999</v>
      </c>
      <c r="Y22" s="114">
        <v>217255.68145</v>
      </c>
      <c r="Z22" s="114">
        <v>232599.99341</v>
      </c>
      <c r="AA22" s="114">
        <v>270157.56962000002</v>
      </c>
      <c r="AB22" s="114">
        <v>256210.44200000001</v>
      </c>
      <c r="AC22" s="114">
        <v>275041.89600000001</v>
      </c>
      <c r="AD22" s="114">
        <v>288900.91360999999</v>
      </c>
      <c r="AE22" s="114">
        <v>301217.46286999999</v>
      </c>
      <c r="AF22" s="114">
        <v>295785.10012000002</v>
      </c>
      <c r="AG22" s="114">
        <v>286482.46110999997</v>
      </c>
      <c r="AH22" s="114">
        <v>274761.37224</v>
      </c>
      <c r="AI22" s="114">
        <v>247492.51899000001</v>
      </c>
      <c r="AJ22" s="114">
        <v>261730.40594</v>
      </c>
      <c r="AK22" s="114">
        <v>268862.39121999999</v>
      </c>
      <c r="AL22" s="114">
        <v>289561.84881</v>
      </c>
      <c r="AM22" s="114">
        <v>292476.30895999999</v>
      </c>
      <c r="AN22" s="114">
        <v>289685.97154</v>
      </c>
      <c r="AO22" s="114">
        <v>303895.7464</v>
      </c>
      <c r="AP22" s="114">
        <v>305186.49076999997</v>
      </c>
      <c r="AQ22" s="114">
        <v>312161.68278999999</v>
      </c>
      <c r="AR22" s="114">
        <v>318850.90356000001</v>
      </c>
      <c r="AS22" s="114">
        <v>325833.74917999998</v>
      </c>
      <c r="AT22" s="114">
        <v>329590.48955</v>
      </c>
      <c r="AU22" s="114">
        <v>327238.97633999999</v>
      </c>
      <c r="AV22" s="114">
        <v>329303.60051000002</v>
      </c>
      <c r="AW22" s="115">
        <v>324657.46837000002</v>
      </c>
      <c r="AX22" s="115">
        <v>327978.95606</v>
      </c>
      <c r="AY22" s="116">
        <v>309294</v>
      </c>
      <c r="AZ22" s="116">
        <v>266860</v>
      </c>
      <c r="BA22" s="116">
        <v>266067</v>
      </c>
      <c r="BB22" s="76">
        <v>241190</v>
      </c>
      <c r="BC22" s="76">
        <v>241190</v>
      </c>
      <c r="BD22" s="81">
        <v>192400</v>
      </c>
      <c r="BF22" s="117">
        <f t="shared" ref="BF22:BF38" si="5">BD22/BC22-1</f>
        <v>-0.20228865210000413</v>
      </c>
      <c r="BG22" s="118"/>
      <c r="BH22" s="118"/>
    </row>
    <row r="23" spans="1:60" s="11" customFormat="1" x14ac:dyDescent="0.25">
      <c r="A23" s="11">
        <v>3</v>
      </c>
      <c r="B23" s="11" t="s">
        <v>205</v>
      </c>
      <c r="C23" s="114">
        <v>73315.405559999999</v>
      </c>
      <c r="D23" s="114">
        <v>76519.620880000002</v>
      </c>
      <c r="E23" s="114">
        <v>84795.735010000004</v>
      </c>
      <c r="F23" s="114">
        <v>89003.732440000007</v>
      </c>
      <c r="G23" s="114">
        <v>94255.095329999996</v>
      </c>
      <c r="H23" s="114">
        <v>100978.99612</v>
      </c>
      <c r="I23" s="114">
        <v>102825.73104</v>
      </c>
      <c r="J23" s="114">
        <v>121286.74304</v>
      </c>
      <c r="K23" s="114">
        <v>129701.78866999999</v>
      </c>
      <c r="L23" s="114">
        <v>147719.70048</v>
      </c>
      <c r="M23" s="114">
        <v>159583.77721999999</v>
      </c>
      <c r="N23" s="114">
        <v>164689.46539999999</v>
      </c>
      <c r="O23" s="114">
        <v>180283.10870000001</v>
      </c>
      <c r="P23" s="114">
        <v>177629.41164000001</v>
      </c>
      <c r="Q23" s="114">
        <v>175541.43695999999</v>
      </c>
      <c r="R23" s="114">
        <v>141853.71567999999</v>
      </c>
      <c r="S23" s="114">
        <v>149642.35399999999</v>
      </c>
      <c r="T23" s="114">
        <v>135167.71849</v>
      </c>
      <c r="U23" s="114">
        <v>139641.94441</v>
      </c>
      <c r="V23" s="114">
        <v>179631.26561</v>
      </c>
      <c r="W23" s="114">
        <v>163449.12377999999</v>
      </c>
      <c r="X23" s="114">
        <v>177743.41104000001</v>
      </c>
      <c r="Y23" s="114">
        <v>160833.48202</v>
      </c>
      <c r="Z23" s="114">
        <v>148686.56883</v>
      </c>
      <c r="AA23" s="114">
        <v>163124.31865999999</v>
      </c>
      <c r="AB23" s="114">
        <v>155966.18077000001</v>
      </c>
      <c r="AC23" s="114">
        <v>158032.28434000001</v>
      </c>
      <c r="AD23" s="114">
        <v>174283.23123</v>
      </c>
      <c r="AE23" s="114">
        <v>178433.40372</v>
      </c>
      <c r="AF23" s="114">
        <v>199615.14593</v>
      </c>
      <c r="AG23" s="114">
        <v>180590.50143</v>
      </c>
      <c r="AH23" s="114">
        <v>183034.72521999999</v>
      </c>
      <c r="AI23" s="114">
        <v>190092.34140999999</v>
      </c>
      <c r="AJ23" s="114">
        <v>186992.34246000001</v>
      </c>
      <c r="AK23" s="114">
        <v>192015.52294</v>
      </c>
      <c r="AL23" s="114">
        <v>199201.55403</v>
      </c>
      <c r="AM23" s="114">
        <v>201734.64176999999</v>
      </c>
      <c r="AN23" s="114">
        <v>219192.05003000001</v>
      </c>
      <c r="AO23" s="114">
        <v>195539.78294999999</v>
      </c>
      <c r="AP23" s="114">
        <v>203039.59030000001</v>
      </c>
      <c r="AQ23" s="114">
        <v>219360.2028</v>
      </c>
      <c r="AR23" s="114">
        <v>184976.00636999999</v>
      </c>
      <c r="AS23" s="114">
        <v>203538.27111</v>
      </c>
      <c r="AT23" s="114">
        <v>204510.63381999999</v>
      </c>
      <c r="AU23" s="114">
        <v>201929.35006</v>
      </c>
      <c r="AV23" s="114">
        <v>212229.89420000001</v>
      </c>
      <c r="AW23" s="115">
        <v>189221.44190999999</v>
      </c>
      <c r="AX23" s="115">
        <v>208693</v>
      </c>
      <c r="AY23" s="116">
        <v>202931</v>
      </c>
      <c r="AZ23" s="116">
        <v>203780</v>
      </c>
      <c r="BA23" s="116">
        <v>217744</v>
      </c>
      <c r="BB23" s="76">
        <v>199170</v>
      </c>
      <c r="BC23" s="76">
        <v>199170</v>
      </c>
      <c r="BD23" s="81">
        <v>216700</v>
      </c>
      <c r="BF23" s="117">
        <f t="shared" si="5"/>
        <v>8.8015263342873018E-2</v>
      </c>
      <c r="BG23" s="118"/>
      <c r="BH23" s="118"/>
    </row>
    <row r="24" spans="1:60" s="11" customFormat="1" x14ac:dyDescent="0.25">
      <c r="A24" s="11">
        <v>4</v>
      </c>
      <c r="B24" s="11" t="s">
        <v>206</v>
      </c>
      <c r="C24" s="114">
        <v>353293</v>
      </c>
      <c r="D24" s="114">
        <v>348291</v>
      </c>
      <c r="E24" s="114">
        <v>369798</v>
      </c>
      <c r="F24" s="114">
        <v>374135</v>
      </c>
      <c r="G24" s="114">
        <v>391729</v>
      </c>
      <c r="H24" s="114">
        <v>410386</v>
      </c>
      <c r="I24" s="114">
        <v>432689</v>
      </c>
      <c r="J24" s="114">
        <v>412962</v>
      </c>
      <c r="K24" s="114">
        <v>439144</v>
      </c>
      <c r="L24" s="114">
        <v>465137</v>
      </c>
      <c r="M24" s="114">
        <v>528963</v>
      </c>
      <c r="N24" s="114">
        <v>587909</v>
      </c>
      <c r="O24" s="114">
        <v>650963</v>
      </c>
      <c r="P24" s="114">
        <v>695344</v>
      </c>
      <c r="Q24" s="114">
        <v>671759</v>
      </c>
      <c r="R24" s="114">
        <v>593744</v>
      </c>
      <c r="S24" s="114">
        <v>607423</v>
      </c>
      <c r="T24" s="114">
        <v>617824</v>
      </c>
      <c r="U24" s="114">
        <v>627558</v>
      </c>
      <c r="V24" s="114">
        <v>601001</v>
      </c>
      <c r="W24" s="114">
        <v>533066</v>
      </c>
      <c r="X24" s="114">
        <v>496729</v>
      </c>
      <c r="Y24" s="114">
        <v>472197</v>
      </c>
      <c r="Z24" s="114">
        <v>486336</v>
      </c>
      <c r="AA24" s="114">
        <v>518002</v>
      </c>
      <c r="AB24" s="114">
        <v>484683</v>
      </c>
      <c r="AC24" s="114">
        <v>485990</v>
      </c>
      <c r="AD24" s="114">
        <v>516303</v>
      </c>
      <c r="AE24" s="114">
        <v>533837</v>
      </c>
      <c r="AF24" s="114">
        <v>571920</v>
      </c>
      <c r="AG24" s="114">
        <v>505878</v>
      </c>
      <c r="AH24" s="114">
        <v>492641</v>
      </c>
      <c r="AI24" s="114">
        <v>494480</v>
      </c>
      <c r="AJ24" s="114">
        <v>519585</v>
      </c>
      <c r="AK24" s="114">
        <v>521706</v>
      </c>
      <c r="AL24" s="114">
        <v>483522</v>
      </c>
      <c r="AM24" s="114">
        <v>503267</v>
      </c>
      <c r="AN24" s="114">
        <v>510436</v>
      </c>
      <c r="AO24" s="114">
        <v>543711</v>
      </c>
      <c r="AP24" s="114">
        <v>569281</v>
      </c>
      <c r="AQ24" s="114">
        <v>547966</v>
      </c>
      <c r="AR24" s="114">
        <v>567195</v>
      </c>
      <c r="AS24" s="114">
        <v>548454</v>
      </c>
      <c r="AT24" s="114">
        <v>567921</v>
      </c>
      <c r="AU24" s="114">
        <v>593018</v>
      </c>
      <c r="AV24" s="114">
        <v>611911</v>
      </c>
      <c r="AW24" s="115">
        <v>555167</v>
      </c>
      <c r="AX24" s="115">
        <v>554702</v>
      </c>
      <c r="AY24" s="116">
        <v>530782</v>
      </c>
      <c r="AZ24" s="116">
        <v>540156</v>
      </c>
      <c r="BA24" s="116">
        <v>517982</v>
      </c>
      <c r="BB24" s="76">
        <v>498362</v>
      </c>
      <c r="BC24" s="76">
        <v>498362</v>
      </c>
      <c r="BD24" s="81">
        <v>486900</v>
      </c>
      <c r="BF24" s="117">
        <f t="shared" si="5"/>
        <v>-2.2999345857027675E-2</v>
      </c>
      <c r="BG24" s="118"/>
      <c r="BH24" s="118"/>
    </row>
    <row r="25" spans="1:60" s="12" customFormat="1" x14ac:dyDescent="0.25">
      <c r="A25" s="12">
        <v>5</v>
      </c>
      <c r="B25" s="12" t="s">
        <v>207</v>
      </c>
      <c r="C25" s="12">
        <v>82192.656669999997</v>
      </c>
      <c r="D25" s="12">
        <v>87146.395109999998</v>
      </c>
      <c r="E25" s="12">
        <v>98109.052540000004</v>
      </c>
      <c r="F25" s="12">
        <v>113816.02499999999</v>
      </c>
      <c r="G25" s="12">
        <v>127068.3239</v>
      </c>
      <c r="H25" s="12">
        <v>158708.0937</v>
      </c>
      <c r="I25" s="12">
        <v>175317.05600000001</v>
      </c>
      <c r="J25" s="12">
        <v>186372.56760000001</v>
      </c>
      <c r="K25" s="12">
        <v>195424.60680000001</v>
      </c>
      <c r="L25" s="12">
        <v>176221.16709999999</v>
      </c>
      <c r="M25" s="12">
        <v>146431.2352</v>
      </c>
      <c r="N25" s="12">
        <v>132077.9999</v>
      </c>
      <c r="O25" s="12">
        <v>111771.0309</v>
      </c>
      <c r="P25" s="23">
        <v>97092.246010000003</v>
      </c>
      <c r="Q25" s="23">
        <v>97127.66966</v>
      </c>
      <c r="R25" s="23">
        <v>94195.756970000002</v>
      </c>
      <c r="S25" s="23">
        <v>124750.97410000001</v>
      </c>
      <c r="T25" s="23">
        <v>107942.7898</v>
      </c>
      <c r="U25" s="23">
        <v>118215.2945</v>
      </c>
      <c r="V25" s="23">
        <v>129850.95450000001</v>
      </c>
      <c r="W25" s="23">
        <v>146260.4798</v>
      </c>
      <c r="X25" s="23">
        <v>127390.9103</v>
      </c>
      <c r="Y25" s="23">
        <v>143118.67240000001</v>
      </c>
      <c r="Z25" s="23">
        <v>157645.49770000001</v>
      </c>
      <c r="AA25" s="119">
        <v>189299.94029999999</v>
      </c>
      <c r="AB25" s="119">
        <v>178439.14009999999</v>
      </c>
      <c r="AC25" s="119">
        <v>202015.745</v>
      </c>
      <c r="AD25" s="119">
        <v>208585.3835</v>
      </c>
      <c r="AE25" s="119">
        <v>229559.345</v>
      </c>
      <c r="AF25" s="119">
        <v>231156.97279999999</v>
      </c>
      <c r="AG25" s="119">
        <v>227901.9999</v>
      </c>
      <c r="AH25" s="119">
        <v>220903.00270000001</v>
      </c>
      <c r="AI25" s="119">
        <v>229355.9688</v>
      </c>
      <c r="AJ25" s="119">
        <v>242865.9596</v>
      </c>
      <c r="AK25" s="119">
        <v>249201.02960000001</v>
      </c>
      <c r="AL25" s="119">
        <v>262938.9779</v>
      </c>
      <c r="AM25" s="119">
        <v>271710.96139999997</v>
      </c>
      <c r="AN25" s="119">
        <v>269025.00339999999</v>
      </c>
      <c r="AO25" s="119">
        <v>283308.03700000001</v>
      </c>
      <c r="AP25" s="119">
        <v>284088.0295</v>
      </c>
      <c r="AQ25" s="119">
        <v>289747.02269999997</v>
      </c>
      <c r="AR25" s="119">
        <v>283345.00919999997</v>
      </c>
      <c r="AS25" s="119">
        <v>291705.99349999998</v>
      </c>
      <c r="AT25" s="119">
        <v>297613.01539999997</v>
      </c>
      <c r="AU25" s="119">
        <v>291314.87640000001</v>
      </c>
      <c r="AV25" s="119">
        <v>295545.52769999998</v>
      </c>
      <c r="AW25" s="120">
        <v>293180.84460000001</v>
      </c>
      <c r="AX25" s="120">
        <v>297199.78970000002</v>
      </c>
      <c r="AY25" s="120">
        <v>279847.17216000002</v>
      </c>
      <c r="AZ25" s="120">
        <v>243998.48116</v>
      </c>
      <c r="BA25" s="39">
        <v>242944</v>
      </c>
      <c r="BB25" s="39">
        <v>218918</v>
      </c>
      <c r="BC25" s="39">
        <v>218918</v>
      </c>
      <c r="BD25" s="121">
        <v>171400</v>
      </c>
      <c r="BE25" s="12">
        <v>167600</v>
      </c>
      <c r="BF25" s="117">
        <f t="shared" si="5"/>
        <v>-0.21705844197370705</v>
      </c>
      <c r="BH25" s="122"/>
    </row>
    <row r="26" spans="1:60" s="12" customFormat="1" x14ac:dyDescent="0.25">
      <c r="A26" s="12">
        <v>6</v>
      </c>
      <c r="B26" s="12" t="s">
        <v>208</v>
      </c>
      <c r="C26" s="12">
        <v>80.796239999999997</v>
      </c>
      <c r="D26" s="12">
        <v>64.257980000000003</v>
      </c>
      <c r="E26" s="12">
        <v>70.006370000000004</v>
      </c>
      <c r="F26" s="12">
        <v>90.222719999999995</v>
      </c>
      <c r="G26" s="12">
        <v>58.959090000000003</v>
      </c>
      <c r="H26" s="12">
        <v>56.762450000000001</v>
      </c>
      <c r="I26" s="12">
        <v>187.83598000000001</v>
      </c>
      <c r="J26" s="12">
        <v>381.01504</v>
      </c>
      <c r="K26" s="12">
        <v>446.36466999999999</v>
      </c>
      <c r="L26" s="12">
        <v>6700.56448</v>
      </c>
      <c r="M26" s="12">
        <v>11687.09122</v>
      </c>
      <c r="N26" s="12">
        <v>9630.6034</v>
      </c>
      <c r="O26" s="12">
        <v>6972.8264099999997</v>
      </c>
      <c r="P26" s="23">
        <v>8780.7871799999994</v>
      </c>
      <c r="Q26" s="23">
        <v>13378.31352</v>
      </c>
      <c r="R26" s="23">
        <v>425.55986999999999</v>
      </c>
      <c r="S26" s="23">
        <v>218.79656</v>
      </c>
      <c r="T26" s="23">
        <v>316.45881000000003</v>
      </c>
      <c r="U26" s="23">
        <v>550.69159999999999</v>
      </c>
      <c r="V26" s="23">
        <v>10566.161829999999</v>
      </c>
      <c r="W26" s="119">
        <v>5350.5344999999998</v>
      </c>
      <c r="X26" s="119">
        <v>6088.3353999999999</v>
      </c>
      <c r="Y26" s="119">
        <v>959.05970000000002</v>
      </c>
      <c r="Z26" s="119">
        <v>1845.3823299999999</v>
      </c>
      <c r="AA26" s="119">
        <v>1325.9031</v>
      </c>
      <c r="AB26" s="119">
        <v>1405.9914799999999</v>
      </c>
      <c r="AC26" s="119">
        <v>2321.05627</v>
      </c>
      <c r="AD26" s="119">
        <v>12263.018260000001</v>
      </c>
      <c r="AE26" s="119">
        <v>5559.6795700000002</v>
      </c>
      <c r="AF26" s="119">
        <v>23688.911120000001</v>
      </c>
      <c r="AG26" s="119">
        <v>21650.931949999998</v>
      </c>
      <c r="AH26" s="119">
        <v>22087.91388</v>
      </c>
      <c r="AI26" s="119">
        <v>15799.99201</v>
      </c>
      <c r="AJ26" s="119">
        <v>10454.954009999999</v>
      </c>
      <c r="AK26" s="119">
        <v>15822.96306</v>
      </c>
      <c r="AL26" s="119">
        <v>19537.064679999999</v>
      </c>
      <c r="AM26" s="119">
        <v>12306.0106</v>
      </c>
      <c r="AN26" s="119">
        <v>16095.92801</v>
      </c>
      <c r="AO26" s="119">
        <v>22347.069920000002</v>
      </c>
      <c r="AP26" s="119">
        <v>23685.100289999998</v>
      </c>
      <c r="AQ26" s="119">
        <v>30119.135429999998</v>
      </c>
      <c r="AR26" s="119">
        <v>18097.053820000001</v>
      </c>
      <c r="AS26" s="119">
        <v>23220.94541</v>
      </c>
      <c r="AT26" s="119">
        <v>11409.26136</v>
      </c>
      <c r="AU26" s="119">
        <v>12532.009770000001</v>
      </c>
      <c r="AV26" s="119">
        <v>21472.049749999998</v>
      </c>
      <c r="AW26" s="120">
        <v>22845.937679999999</v>
      </c>
      <c r="AX26" s="120">
        <v>24109.780139999999</v>
      </c>
      <c r="AY26" s="123">
        <v>20537.28</v>
      </c>
      <c r="AZ26" s="120">
        <v>18904.007140000002</v>
      </c>
      <c r="BA26" s="39">
        <v>31776</v>
      </c>
      <c r="BB26" s="39">
        <v>21587</v>
      </c>
      <c r="BC26" s="39">
        <v>21587</v>
      </c>
      <c r="BD26" s="121">
        <v>50900</v>
      </c>
      <c r="BE26" s="12">
        <v>25900</v>
      </c>
      <c r="BF26" s="117">
        <f t="shared" si="5"/>
        <v>1.3579005883170425</v>
      </c>
    </row>
    <row r="27" spans="1:60" s="12" customFormat="1" x14ac:dyDescent="0.25">
      <c r="A27" s="12">
        <v>7</v>
      </c>
      <c r="B27" s="12" t="s">
        <v>209</v>
      </c>
      <c r="C27" s="12">
        <v>1137.0372199999999</v>
      </c>
      <c r="D27" s="12">
        <v>1254.8896299999999</v>
      </c>
      <c r="E27" s="12">
        <v>1281.57583</v>
      </c>
      <c r="F27" s="12">
        <v>1507.3045</v>
      </c>
      <c r="G27" s="12">
        <v>1669.60247</v>
      </c>
      <c r="H27" s="12">
        <v>1842.414</v>
      </c>
      <c r="I27" s="12">
        <v>1823.1240299999999</v>
      </c>
      <c r="J27" s="12">
        <v>2511.2034399999998</v>
      </c>
      <c r="K27" s="12">
        <v>9432.5396700000001</v>
      </c>
      <c r="L27" s="12">
        <v>26423.826840000002</v>
      </c>
      <c r="M27" s="12">
        <v>68033.390729999999</v>
      </c>
      <c r="N27" s="12">
        <v>92284.927830000001</v>
      </c>
      <c r="O27" s="12">
        <v>141122.0912</v>
      </c>
      <c r="P27" s="23">
        <v>161000.76060000001</v>
      </c>
      <c r="Q27" s="23">
        <v>176248.8052</v>
      </c>
      <c r="R27" s="23">
        <v>117044.3462</v>
      </c>
      <c r="S27" s="23">
        <v>110403.1105</v>
      </c>
      <c r="T27" s="23">
        <v>107140.698</v>
      </c>
      <c r="U27" s="23">
        <v>123457.5659</v>
      </c>
      <c r="V27" s="23">
        <v>92105.648050000003</v>
      </c>
      <c r="W27" s="23">
        <v>57639.692049999998</v>
      </c>
      <c r="X27" s="23">
        <v>46098.50819</v>
      </c>
      <c r="Y27" s="23">
        <v>41714.94384</v>
      </c>
      <c r="Z27" s="23">
        <v>40293.83726</v>
      </c>
      <c r="AA27" s="23">
        <v>35857.031909999998</v>
      </c>
      <c r="AB27" s="23">
        <v>37095.217790000002</v>
      </c>
      <c r="AC27" s="23">
        <v>31102.09852</v>
      </c>
      <c r="AD27" s="23">
        <v>32130.886569999999</v>
      </c>
      <c r="AE27" s="23">
        <v>42772.837509999998</v>
      </c>
      <c r="AF27" s="23">
        <v>76754.90913</v>
      </c>
      <c r="AG27" s="23">
        <v>47148.944179999999</v>
      </c>
      <c r="AH27" s="23">
        <v>50467.572970000001</v>
      </c>
      <c r="AI27" s="23">
        <v>34583.103490000001</v>
      </c>
      <c r="AJ27" s="23">
        <v>51916.083310000002</v>
      </c>
      <c r="AK27" s="23">
        <v>50430.58844</v>
      </c>
      <c r="AL27" s="23">
        <v>18303.571540000001</v>
      </c>
      <c r="AM27" s="23">
        <v>19030.008419999998</v>
      </c>
      <c r="AN27" s="23">
        <v>20130.714070000002</v>
      </c>
      <c r="AO27" s="23">
        <v>40212.697339999999</v>
      </c>
      <c r="AP27" s="23">
        <v>50030.713689999997</v>
      </c>
      <c r="AQ27" s="23">
        <v>26862.754290000001</v>
      </c>
      <c r="AR27" s="23">
        <v>34539.242200000001</v>
      </c>
      <c r="AS27" s="23">
        <v>25517.898700000002</v>
      </c>
      <c r="AT27" s="23">
        <v>38293.188730000002</v>
      </c>
      <c r="AU27" s="23">
        <v>35019.638129999999</v>
      </c>
      <c r="AV27" s="23">
        <v>40463.904739999998</v>
      </c>
      <c r="AW27" s="123">
        <v>6353.4960199999996</v>
      </c>
      <c r="AX27" s="123">
        <v>11016.408299999999</v>
      </c>
      <c r="AY27" s="123">
        <v>4880.1499999999996</v>
      </c>
      <c r="AZ27" s="120">
        <v>3800.7716099999998</v>
      </c>
      <c r="BA27" s="39">
        <v>3852</v>
      </c>
      <c r="BB27" s="39">
        <v>2758</v>
      </c>
      <c r="BC27" s="39">
        <v>2758</v>
      </c>
      <c r="BD27" s="121">
        <v>1500</v>
      </c>
      <c r="BE27" s="12">
        <v>2100</v>
      </c>
      <c r="BF27" s="117">
        <f t="shared" si="5"/>
        <v>-0.45612762871646118</v>
      </c>
    </row>
    <row r="28" spans="1:60" s="12" customFormat="1" x14ac:dyDescent="0.25">
      <c r="A28" s="12">
        <v>8</v>
      </c>
      <c r="B28" s="12" t="s">
        <v>210</v>
      </c>
      <c r="C28" s="12">
        <f>C22-C25</f>
        <v>144373.37301000001</v>
      </c>
      <c r="D28" s="12">
        <f t="shared" ref="D28:BD30" si="6">D22-D25</f>
        <v>143067.92963000003</v>
      </c>
      <c r="E28" s="12">
        <f t="shared" si="6"/>
        <v>154201.11390999999</v>
      </c>
      <c r="F28" s="12">
        <f t="shared" si="6"/>
        <v>161511.72748999999</v>
      </c>
      <c r="G28" s="12">
        <f t="shared" si="6"/>
        <v>173560.97089</v>
      </c>
      <c r="H28" s="12">
        <f t="shared" si="6"/>
        <v>168684.91501000003</v>
      </c>
      <c r="I28" s="12">
        <f t="shared" si="6"/>
        <v>163729.02390999996</v>
      </c>
      <c r="J28" s="12">
        <f t="shared" si="6"/>
        <v>164342.56455000001</v>
      </c>
      <c r="K28" s="12">
        <f t="shared" si="6"/>
        <v>167370.70367000002</v>
      </c>
      <c r="L28" s="12">
        <f t="shared" si="6"/>
        <v>179175.94995000001</v>
      </c>
      <c r="M28" s="12">
        <f t="shared" si="6"/>
        <v>164860.60230999999</v>
      </c>
      <c r="N28" s="12">
        <f t="shared" si="6"/>
        <v>141875.03373999998</v>
      </c>
      <c r="O28" s="12">
        <f t="shared" si="6"/>
        <v>114649.99827</v>
      </c>
      <c r="P28" s="12">
        <f t="shared" si="6"/>
        <v>159668.81693</v>
      </c>
      <c r="Q28" s="12">
        <f t="shared" si="6"/>
        <v>120382.53668</v>
      </c>
      <c r="R28" s="12">
        <f t="shared" si="6"/>
        <v>102964.69629000001</v>
      </c>
      <c r="S28" s="12">
        <f t="shared" si="6"/>
        <v>120567.04726000001</v>
      </c>
      <c r="T28" s="12">
        <f t="shared" si="6"/>
        <v>81784.857920000009</v>
      </c>
      <c r="U28" s="12">
        <f t="shared" si="6"/>
        <v>91504.867539999992</v>
      </c>
      <c r="V28" s="12">
        <f t="shared" si="6"/>
        <v>110858.48145000001</v>
      </c>
      <c r="W28" s="12">
        <f t="shared" si="6"/>
        <v>89449.512190000009</v>
      </c>
      <c r="X28" s="12">
        <f t="shared" si="6"/>
        <v>82977.23539999999</v>
      </c>
      <c r="Y28" s="12">
        <f t="shared" si="6"/>
        <v>74137.009049999993</v>
      </c>
      <c r="Z28" s="12">
        <f t="shared" si="6"/>
        <v>74954.495709999988</v>
      </c>
      <c r="AA28" s="12">
        <f t="shared" si="6"/>
        <v>80857.629320000036</v>
      </c>
      <c r="AB28" s="12">
        <f t="shared" si="6"/>
        <v>77771.30190000002</v>
      </c>
      <c r="AC28" s="12">
        <f t="shared" si="6"/>
        <v>73026.151000000013</v>
      </c>
      <c r="AD28" s="12">
        <f t="shared" si="6"/>
        <v>80315.530109999992</v>
      </c>
      <c r="AE28" s="12">
        <f t="shared" si="6"/>
        <v>71658.117869999987</v>
      </c>
      <c r="AF28" s="12">
        <f t="shared" si="6"/>
        <v>64628.127320000029</v>
      </c>
      <c r="AG28" s="12">
        <f t="shared" si="6"/>
        <v>58580.461209999979</v>
      </c>
      <c r="AH28" s="12">
        <f t="shared" si="6"/>
        <v>53858.369539999985</v>
      </c>
      <c r="AI28" s="12">
        <f t="shared" si="6"/>
        <v>18136.550190000009</v>
      </c>
      <c r="AJ28" s="12">
        <f t="shared" si="6"/>
        <v>18864.446339999995</v>
      </c>
      <c r="AK28" s="12">
        <f t="shared" si="6"/>
        <v>19661.361619999981</v>
      </c>
      <c r="AL28" s="12">
        <f t="shared" si="6"/>
        <v>26622.870909999998</v>
      </c>
      <c r="AM28" s="12">
        <f t="shared" si="6"/>
        <v>20765.347560000024</v>
      </c>
      <c r="AN28" s="12">
        <f t="shared" si="6"/>
        <v>20660.968140000012</v>
      </c>
      <c r="AO28" s="12">
        <f t="shared" si="6"/>
        <v>20587.709399999992</v>
      </c>
      <c r="AP28" s="12">
        <f t="shared" si="6"/>
        <v>21098.461269999971</v>
      </c>
      <c r="AQ28" s="12">
        <f t="shared" si="6"/>
        <v>22414.660090000019</v>
      </c>
      <c r="AR28" s="12">
        <f t="shared" si="6"/>
        <v>35505.894360000035</v>
      </c>
      <c r="AS28" s="12">
        <f t="shared" si="6"/>
        <v>34127.755680000002</v>
      </c>
      <c r="AT28" s="12">
        <f t="shared" si="6"/>
        <v>31977.474150000024</v>
      </c>
      <c r="AU28" s="12">
        <f t="shared" si="6"/>
        <v>35924.099939999986</v>
      </c>
      <c r="AV28" s="12">
        <f t="shared" si="6"/>
        <v>33758.072810000041</v>
      </c>
      <c r="AW28" s="39">
        <f t="shared" si="6"/>
        <v>31476.623770000006</v>
      </c>
      <c r="AX28" s="39">
        <f t="shared" si="6"/>
        <v>30779.166359999974</v>
      </c>
      <c r="AY28" s="39">
        <f t="shared" si="6"/>
        <v>29446.827839999984</v>
      </c>
      <c r="AZ28" s="39">
        <f t="shared" si="6"/>
        <v>22861.518840000004</v>
      </c>
      <c r="BA28" s="123">
        <f t="shared" si="6"/>
        <v>23123</v>
      </c>
      <c r="BB28" s="123">
        <f t="shared" si="6"/>
        <v>22272</v>
      </c>
      <c r="BC28" s="123">
        <f t="shared" si="6"/>
        <v>22272</v>
      </c>
      <c r="BD28" s="124">
        <f t="shared" si="6"/>
        <v>21000</v>
      </c>
      <c r="BE28" s="12">
        <f>183200-BE25</f>
        <v>15600</v>
      </c>
      <c r="BF28" s="117">
        <f t="shared" si="5"/>
        <v>-5.7112068965517238E-2</v>
      </c>
    </row>
    <row r="29" spans="1:60" s="12" customFormat="1" x14ac:dyDescent="0.25">
      <c r="A29" s="12">
        <v>9</v>
      </c>
      <c r="B29" s="12" t="s">
        <v>211</v>
      </c>
      <c r="C29" s="12">
        <f>C23-C26</f>
        <v>73234.609320000003</v>
      </c>
      <c r="D29" s="12">
        <f t="shared" si="6"/>
        <v>76455.362900000007</v>
      </c>
      <c r="E29" s="12">
        <f t="shared" si="6"/>
        <v>84725.728640000001</v>
      </c>
      <c r="F29" s="12">
        <f t="shared" si="6"/>
        <v>88913.509720000002</v>
      </c>
      <c r="G29" s="12">
        <f t="shared" si="6"/>
        <v>94196.136239999993</v>
      </c>
      <c r="H29" s="12">
        <f t="shared" si="6"/>
        <v>100922.23367</v>
      </c>
      <c r="I29" s="12">
        <f t="shared" si="6"/>
        <v>102637.89506</v>
      </c>
      <c r="J29" s="12">
        <f t="shared" si="6"/>
        <v>120905.728</v>
      </c>
      <c r="K29" s="12">
        <f t="shared" si="6"/>
        <v>129255.424</v>
      </c>
      <c r="L29" s="12">
        <f t="shared" si="6"/>
        <v>141019.136</v>
      </c>
      <c r="M29" s="12">
        <f t="shared" si="6"/>
        <v>147896.68599999999</v>
      </c>
      <c r="N29" s="12">
        <f t="shared" si="6"/>
        <v>155058.86199999999</v>
      </c>
      <c r="O29" s="12">
        <f t="shared" si="6"/>
        <v>173310.28229</v>
      </c>
      <c r="P29" s="12">
        <f t="shared" si="6"/>
        <v>168848.62446000002</v>
      </c>
      <c r="Q29" s="12">
        <f t="shared" si="6"/>
        <v>162163.12344</v>
      </c>
      <c r="R29" s="12">
        <f t="shared" si="6"/>
        <v>141428.15581</v>
      </c>
      <c r="S29" s="12">
        <f t="shared" si="6"/>
        <v>149423.55744</v>
      </c>
      <c r="T29" s="12">
        <f t="shared" si="6"/>
        <v>134851.25967999999</v>
      </c>
      <c r="U29" s="12">
        <f t="shared" si="6"/>
        <v>139091.25281000001</v>
      </c>
      <c r="V29" s="12">
        <f t="shared" si="6"/>
        <v>169065.10378</v>
      </c>
      <c r="W29" s="12">
        <f t="shared" si="6"/>
        <v>158098.58927999999</v>
      </c>
      <c r="X29" s="12">
        <f t="shared" si="6"/>
        <v>171655.07564</v>
      </c>
      <c r="Y29" s="12">
        <f t="shared" si="6"/>
        <v>159874.42231999998</v>
      </c>
      <c r="Z29" s="12">
        <f t="shared" si="6"/>
        <v>146841.18650000001</v>
      </c>
      <c r="AA29" s="12">
        <f t="shared" si="6"/>
        <v>161798.41555999999</v>
      </c>
      <c r="AB29" s="12">
        <f t="shared" si="6"/>
        <v>154560.18929000001</v>
      </c>
      <c r="AC29" s="12">
        <f t="shared" si="6"/>
        <v>155711.22807000001</v>
      </c>
      <c r="AD29" s="12">
        <f t="shared" si="6"/>
        <v>162020.21296999999</v>
      </c>
      <c r="AE29" s="12">
        <f t="shared" si="6"/>
        <v>172873.72414999999</v>
      </c>
      <c r="AF29" s="12">
        <f t="shared" si="6"/>
        <v>175926.23480999999</v>
      </c>
      <c r="AG29" s="12">
        <f t="shared" si="6"/>
        <v>158939.56948000001</v>
      </c>
      <c r="AH29" s="12">
        <f t="shared" si="6"/>
        <v>160946.81133999999</v>
      </c>
      <c r="AI29" s="12">
        <f t="shared" si="6"/>
        <v>174292.34940000001</v>
      </c>
      <c r="AJ29" s="12">
        <f t="shared" si="6"/>
        <v>176537.38845000003</v>
      </c>
      <c r="AK29" s="12">
        <f t="shared" si="6"/>
        <v>176192.55987999999</v>
      </c>
      <c r="AL29" s="12">
        <f t="shared" si="6"/>
        <v>179664.48934999999</v>
      </c>
      <c r="AM29" s="12">
        <f t="shared" si="6"/>
        <v>189428.63116999998</v>
      </c>
      <c r="AN29" s="12">
        <f t="shared" si="6"/>
        <v>203096.12202000001</v>
      </c>
      <c r="AO29" s="12">
        <f t="shared" si="6"/>
        <v>173192.71302999998</v>
      </c>
      <c r="AP29" s="12">
        <f t="shared" si="6"/>
        <v>179354.49001000001</v>
      </c>
      <c r="AQ29" s="12">
        <f t="shared" si="6"/>
        <v>189241.06737</v>
      </c>
      <c r="AR29" s="12">
        <f t="shared" si="6"/>
        <v>166878.95254999999</v>
      </c>
      <c r="AS29" s="12">
        <f t="shared" si="6"/>
        <v>180317.32569999999</v>
      </c>
      <c r="AT29" s="12">
        <f t="shared" si="6"/>
        <v>193101.37245999998</v>
      </c>
      <c r="AU29" s="12">
        <f t="shared" si="6"/>
        <v>189397.34028999999</v>
      </c>
      <c r="AV29" s="12">
        <f t="shared" si="6"/>
        <v>190757.84445</v>
      </c>
      <c r="AW29" s="39">
        <f t="shared" si="6"/>
        <v>166375.50422999999</v>
      </c>
      <c r="AX29" s="39">
        <f t="shared" si="6"/>
        <v>184583.21986000001</v>
      </c>
      <c r="AY29" s="39">
        <f t="shared" si="6"/>
        <v>182393.72</v>
      </c>
      <c r="AZ29" s="39">
        <f t="shared" si="6"/>
        <v>184875.99286</v>
      </c>
      <c r="BA29" s="123">
        <f t="shared" si="6"/>
        <v>185968</v>
      </c>
      <c r="BB29" s="123">
        <f t="shared" si="6"/>
        <v>177583</v>
      </c>
      <c r="BC29" s="123">
        <f t="shared" si="6"/>
        <v>177583</v>
      </c>
      <c r="BD29" s="124">
        <f t="shared" si="6"/>
        <v>165800</v>
      </c>
      <c r="BE29" s="12">
        <f>209400-BE26</f>
        <v>183500</v>
      </c>
      <c r="BF29" s="117">
        <f t="shared" si="5"/>
        <v>-6.6352071988872829E-2</v>
      </c>
    </row>
    <row r="30" spans="1:60" s="12" customFormat="1" x14ac:dyDescent="0.25">
      <c r="A30" s="12">
        <v>10</v>
      </c>
      <c r="B30" s="12" t="s">
        <v>212</v>
      </c>
      <c r="C30" s="12">
        <f>C24-C27</f>
        <v>352155.96278</v>
      </c>
      <c r="D30" s="12">
        <f t="shared" si="6"/>
        <v>347036.11037000001</v>
      </c>
      <c r="E30" s="12">
        <f t="shared" si="6"/>
        <v>368516.42417000001</v>
      </c>
      <c r="F30" s="12">
        <f t="shared" si="6"/>
        <v>372627.69549999997</v>
      </c>
      <c r="G30" s="12">
        <f t="shared" si="6"/>
        <v>390059.39753000002</v>
      </c>
      <c r="H30" s="12">
        <f t="shared" si="6"/>
        <v>408543.58600000001</v>
      </c>
      <c r="I30" s="12">
        <f t="shared" si="6"/>
        <v>430865.87596999999</v>
      </c>
      <c r="J30" s="12">
        <f t="shared" si="6"/>
        <v>410450.79655999999</v>
      </c>
      <c r="K30" s="12">
        <f t="shared" si="6"/>
        <v>429711.46032999997</v>
      </c>
      <c r="L30" s="12">
        <f t="shared" si="6"/>
        <v>438713.17316000001</v>
      </c>
      <c r="M30" s="12">
        <f t="shared" si="6"/>
        <v>460929.60927000002</v>
      </c>
      <c r="N30" s="12">
        <f t="shared" si="6"/>
        <v>495624.07217</v>
      </c>
      <c r="O30" s="12">
        <f t="shared" si="6"/>
        <v>509840.90879999998</v>
      </c>
      <c r="P30" s="12">
        <f t="shared" si="6"/>
        <v>534343.23939999996</v>
      </c>
      <c r="Q30" s="12">
        <f t="shared" si="6"/>
        <v>495510.1948</v>
      </c>
      <c r="R30" s="12">
        <f t="shared" si="6"/>
        <v>476699.65379999997</v>
      </c>
      <c r="S30" s="12">
        <f t="shared" si="6"/>
        <v>497019.88949999999</v>
      </c>
      <c r="T30" s="12">
        <f t="shared" si="6"/>
        <v>510683.30200000003</v>
      </c>
      <c r="U30" s="12">
        <f t="shared" si="6"/>
        <v>504100.43410000001</v>
      </c>
      <c r="V30" s="12">
        <f t="shared" si="6"/>
        <v>508895.35194999998</v>
      </c>
      <c r="W30" s="12">
        <f t="shared" si="6"/>
        <v>475426.30794999999</v>
      </c>
      <c r="X30" s="12">
        <f t="shared" si="6"/>
        <v>450630.49180999998</v>
      </c>
      <c r="Y30" s="12">
        <f t="shared" si="6"/>
        <v>430482.05615999998</v>
      </c>
      <c r="Z30" s="12">
        <f t="shared" si="6"/>
        <v>446042.16274</v>
      </c>
      <c r="AA30" s="12">
        <f t="shared" si="6"/>
        <v>482144.96808999998</v>
      </c>
      <c r="AB30" s="12">
        <f t="shared" si="6"/>
        <v>447587.78220999998</v>
      </c>
      <c r="AC30" s="12">
        <f t="shared" si="6"/>
        <v>454887.90148</v>
      </c>
      <c r="AD30" s="12">
        <f t="shared" si="6"/>
        <v>484172.11343000003</v>
      </c>
      <c r="AE30" s="12">
        <f t="shared" si="6"/>
        <v>491064.16249000002</v>
      </c>
      <c r="AF30" s="12">
        <f t="shared" si="6"/>
        <v>495165.09087000001</v>
      </c>
      <c r="AG30" s="12">
        <f t="shared" si="6"/>
        <v>458729.05582000001</v>
      </c>
      <c r="AH30" s="12">
        <f t="shared" si="6"/>
        <v>442173.42703000002</v>
      </c>
      <c r="AI30" s="12">
        <f t="shared" si="6"/>
        <v>459896.89650999999</v>
      </c>
      <c r="AJ30" s="12">
        <f t="shared" si="6"/>
        <v>467668.91668999998</v>
      </c>
      <c r="AK30" s="12">
        <f t="shared" si="6"/>
        <v>471275.41155999998</v>
      </c>
      <c r="AL30" s="12">
        <f t="shared" si="6"/>
        <v>465218.42846000002</v>
      </c>
      <c r="AM30" s="12">
        <f t="shared" si="6"/>
        <v>484236.99158000003</v>
      </c>
      <c r="AN30" s="12">
        <f t="shared" si="6"/>
        <v>490305.28593000001</v>
      </c>
      <c r="AO30" s="12">
        <f t="shared" si="6"/>
        <v>503498.30265999999</v>
      </c>
      <c r="AP30" s="12">
        <f t="shared" si="6"/>
        <v>519250.28631</v>
      </c>
      <c r="AQ30" s="12">
        <f t="shared" si="6"/>
        <v>521103.24570999999</v>
      </c>
      <c r="AR30" s="12">
        <f t="shared" si="6"/>
        <v>532655.75780000002</v>
      </c>
      <c r="AS30" s="12">
        <f t="shared" si="6"/>
        <v>522936.10129999998</v>
      </c>
      <c r="AT30" s="12">
        <f t="shared" si="6"/>
        <v>529627.81126999995</v>
      </c>
      <c r="AU30" s="12">
        <f t="shared" si="6"/>
        <v>557998.36187000002</v>
      </c>
      <c r="AV30" s="12">
        <f t="shared" si="6"/>
        <v>571447.09525999997</v>
      </c>
      <c r="AW30" s="39">
        <f t="shared" si="6"/>
        <v>548813.50398000004</v>
      </c>
      <c r="AX30" s="39">
        <f t="shared" si="6"/>
        <v>543685.59169999999</v>
      </c>
      <c r="AY30" s="39">
        <f t="shared" si="6"/>
        <v>525901.85</v>
      </c>
      <c r="AZ30" s="39">
        <f t="shared" si="6"/>
        <v>536355.22838999995</v>
      </c>
      <c r="BA30" s="123">
        <f t="shared" si="6"/>
        <v>514130</v>
      </c>
      <c r="BB30" s="123">
        <f t="shared" si="6"/>
        <v>495604</v>
      </c>
      <c r="BC30" s="123">
        <f t="shared" si="6"/>
        <v>495604</v>
      </c>
      <c r="BD30" s="124">
        <f>BD24-BD27</f>
        <v>485400</v>
      </c>
      <c r="BE30" s="12">
        <f>487500-BE27</f>
        <v>485400</v>
      </c>
      <c r="BF30" s="117">
        <f t="shared" si="5"/>
        <v>-2.0589018651988256E-2</v>
      </c>
    </row>
    <row r="31" spans="1:60" s="12" customFormat="1" x14ac:dyDescent="0.25">
      <c r="A31" s="12">
        <v>11</v>
      </c>
      <c r="B31" s="12" t="s">
        <v>213</v>
      </c>
      <c r="C31" s="12">
        <f>C28*1000000000/5800000</f>
        <v>24891960.863793105</v>
      </c>
      <c r="D31" s="12">
        <f>D28*1000000000/5800000</f>
        <v>24666884.418965522</v>
      </c>
      <c r="E31" s="12">
        <f t="shared" ref="E31:BC32" si="7">E28*1000000000/5800000</f>
        <v>26586398.949999999</v>
      </c>
      <c r="F31" s="12">
        <f t="shared" si="7"/>
        <v>27846849.567241378</v>
      </c>
      <c r="G31" s="12">
        <f t="shared" si="7"/>
        <v>29924305.325862069</v>
      </c>
      <c r="H31" s="12">
        <f t="shared" si="7"/>
        <v>29083606.036206901</v>
      </c>
      <c r="I31" s="12">
        <f t="shared" si="7"/>
        <v>28229142.053448271</v>
      </c>
      <c r="J31" s="12">
        <f t="shared" si="7"/>
        <v>28334924.922413792</v>
      </c>
      <c r="K31" s="12">
        <f t="shared" si="7"/>
        <v>28857017.874137938</v>
      </c>
      <c r="L31" s="12">
        <f t="shared" si="7"/>
        <v>30892405.163793102</v>
      </c>
      <c r="M31" s="12">
        <f t="shared" si="7"/>
        <v>28424241.777586207</v>
      </c>
      <c r="N31" s="12">
        <f t="shared" si="7"/>
        <v>24461212.713793103</v>
      </c>
      <c r="O31" s="12">
        <f t="shared" si="7"/>
        <v>19767241.081034482</v>
      </c>
      <c r="P31" s="12">
        <f t="shared" si="7"/>
        <v>27529106.367241379</v>
      </c>
      <c r="Q31" s="12">
        <f t="shared" si="7"/>
        <v>20755609.772413794</v>
      </c>
      <c r="R31" s="12">
        <f t="shared" si="7"/>
        <v>17752533.84310345</v>
      </c>
      <c r="S31" s="12">
        <f t="shared" si="7"/>
        <v>20787421.941379309</v>
      </c>
      <c r="T31" s="12">
        <f t="shared" si="7"/>
        <v>14100837.572413797</v>
      </c>
      <c r="U31" s="12">
        <f t="shared" si="7"/>
        <v>15776701.299999997</v>
      </c>
      <c r="V31" s="12">
        <f t="shared" si="7"/>
        <v>19113531.284482758</v>
      </c>
      <c r="W31" s="12">
        <f t="shared" si="7"/>
        <v>15422329.687931037</v>
      </c>
      <c r="X31" s="12">
        <f t="shared" si="7"/>
        <v>14306419.896551721</v>
      </c>
      <c r="Y31" s="12">
        <f t="shared" si="7"/>
        <v>12782242.939655172</v>
      </c>
      <c r="Z31" s="12">
        <f t="shared" si="7"/>
        <v>12923188.915517239</v>
      </c>
      <c r="AA31" s="12">
        <f t="shared" si="7"/>
        <v>13940970.572413798</v>
      </c>
      <c r="AB31" s="12">
        <f t="shared" si="7"/>
        <v>13408845.155172417</v>
      </c>
      <c r="AC31" s="12">
        <f t="shared" si="7"/>
        <v>12590715.689655175</v>
      </c>
      <c r="AD31" s="12">
        <f t="shared" si="7"/>
        <v>13847505.191379311</v>
      </c>
      <c r="AE31" s="12">
        <f t="shared" si="7"/>
        <v>12354847.908620687</v>
      </c>
      <c r="AF31" s="12">
        <f t="shared" si="7"/>
        <v>11142780.572413798</v>
      </c>
      <c r="AG31" s="12">
        <f t="shared" si="7"/>
        <v>10100079.518965513</v>
      </c>
      <c r="AH31" s="12">
        <f t="shared" si="7"/>
        <v>9285925.7827586178</v>
      </c>
      <c r="AI31" s="12">
        <f t="shared" si="7"/>
        <v>3126991.4120689668</v>
      </c>
      <c r="AJ31" s="12">
        <f t="shared" si="7"/>
        <v>3252490.7482758616</v>
      </c>
      <c r="AK31" s="12">
        <f t="shared" si="7"/>
        <v>3389889.9344827551</v>
      </c>
      <c r="AL31" s="12">
        <f t="shared" si="7"/>
        <v>4590150.1568965511</v>
      </c>
      <c r="AM31" s="12">
        <f t="shared" si="7"/>
        <v>3580232.3379310383</v>
      </c>
      <c r="AN31" s="12">
        <f t="shared" si="7"/>
        <v>3562235.8862068984</v>
      </c>
      <c r="AO31" s="12">
        <f t="shared" si="7"/>
        <v>3549605.0689655161</v>
      </c>
      <c r="AP31" s="12">
        <f t="shared" si="7"/>
        <v>3637665.736206891</v>
      </c>
      <c r="AQ31" s="12">
        <f t="shared" si="7"/>
        <v>3864596.5672413828</v>
      </c>
      <c r="AR31" s="12">
        <f t="shared" si="7"/>
        <v>6121705.924137936</v>
      </c>
      <c r="AS31" s="12">
        <f t="shared" si="7"/>
        <v>5884095.8068965524</v>
      </c>
      <c r="AT31" s="12">
        <f t="shared" si="7"/>
        <v>5513357.6120689698</v>
      </c>
      <c r="AU31" s="12">
        <f t="shared" si="7"/>
        <v>6193810.3344827555</v>
      </c>
      <c r="AV31" s="12">
        <f t="shared" si="7"/>
        <v>5820357.3810344897</v>
      </c>
      <c r="AW31" s="39">
        <f t="shared" si="7"/>
        <v>5427004.0982758626</v>
      </c>
      <c r="AX31" s="39">
        <f t="shared" si="7"/>
        <v>5306752.8206896503</v>
      </c>
      <c r="AY31" s="39">
        <f t="shared" si="7"/>
        <v>5077039.2827586178</v>
      </c>
      <c r="AZ31" s="39">
        <f t="shared" si="7"/>
        <v>3941641.1793103456</v>
      </c>
      <c r="BA31" s="123">
        <f t="shared" si="7"/>
        <v>3986724.1379310344</v>
      </c>
      <c r="BB31" s="123">
        <f t="shared" si="7"/>
        <v>3840000</v>
      </c>
      <c r="BC31" s="123">
        <f t="shared" si="7"/>
        <v>3840000</v>
      </c>
      <c r="BD31" s="125">
        <f>BD28*1000000000/5800000</f>
        <v>3620689.6551724137</v>
      </c>
      <c r="BE31" s="125">
        <f>BE28*1000000000/5800000</f>
        <v>2689655.1724137929</v>
      </c>
      <c r="BF31" s="117">
        <f t="shared" si="5"/>
        <v>-5.7112068965517238E-2</v>
      </c>
    </row>
    <row r="32" spans="1:60" s="12" customFormat="1" x14ac:dyDescent="0.25">
      <c r="A32" s="12">
        <v>12</v>
      </c>
      <c r="B32" s="12" t="s">
        <v>214</v>
      </c>
      <c r="C32" s="12">
        <f>C29*1000000000/5800000</f>
        <v>12626656.779310346</v>
      </c>
      <c r="D32" s="12">
        <f t="shared" ref="D32:BA33" si="8">D29*1000000000/5800000</f>
        <v>13181959.120689655</v>
      </c>
      <c r="E32" s="12">
        <f t="shared" si="8"/>
        <v>14607884.248275861</v>
      </c>
      <c r="F32" s="12">
        <f t="shared" si="8"/>
        <v>15329915.468965517</v>
      </c>
      <c r="G32" s="12">
        <f t="shared" si="8"/>
        <v>16240713.144827586</v>
      </c>
      <c r="H32" s="12">
        <f t="shared" si="8"/>
        <v>17400385.11551724</v>
      </c>
      <c r="I32" s="12">
        <f t="shared" si="8"/>
        <v>17696188.803448275</v>
      </c>
      <c r="J32" s="12">
        <f t="shared" si="8"/>
        <v>20845815.172413792</v>
      </c>
      <c r="K32" s="12">
        <f t="shared" si="8"/>
        <v>22285417.931034483</v>
      </c>
      <c r="L32" s="12">
        <f t="shared" si="8"/>
        <v>24313644.137931034</v>
      </c>
      <c r="M32" s="12">
        <f t="shared" si="8"/>
        <v>25499428.620689657</v>
      </c>
      <c r="N32" s="12">
        <f t="shared" si="8"/>
        <v>26734286.55172414</v>
      </c>
      <c r="O32" s="12">
        <f t="shared" si="8"/>
        <v>29881083.153448276</v>
      </c>
      <c r="P32" s="12">
        <f t="shared" si="8"/>
        <v>29111831.803448282</v>
      </c>
      <c r="Q32" s="12">
        <f t="shared" si="8"/>
        <v>27959159.213793103</v>
      </c>
      <c r="R32" s="12">
        <f t="shared" si="8"/>
        <v>24384164.794827588</v>
      </c>
      <c r="S32" s="12">
        <f t="shared" si="8"/>
        <v>25762682.317241378</v>
      </c>
      <c r="T32" s="12">
        <f t="shared" si="8"/>
        <v>23250217.186206892</v>
      </c>
      <c r="U32" s="12">
        <f t="shared" si="8"/>
        <v>23981250.484482758</v>
      </c>
      <c r="V32" s="12">
        <f t="shared" si="8"/>
        <v>29149155.82413793</v>
      </c>
      <c r="W32" s="12">
        <f t="shared" si="8"/>
        <v>27258377.462068964</v>
      </c>
      <c r="X32" s="12">
        <f t="shared" si="8"/>
        <v>29595702.696551725</v>
      </c>
      <c r="Y32" s="12">
        <f t="shared" si="8"/>
        <v>27564555.572413787</v>
      </c>
      <c r="Z32" s="12">
        <f t="shared" si="8"/>
        <v>25317445.94827586</v>
      </c>
      <c r="AA32" s="12">
        <f t="shared" si="8"/>
        <v>27896278.544827588</v>
      </c>
      <c r="AB32" s="12">
        <f t="shared" si="8"/>
        <v>26648308.498275861</v>
      </c>
      <c r="AC32" s="12">
        <f t="shared" si="8"/>
        <v>26846763.460344829</v>
      </c>
      <c r="AD32" s="12">
        <f t="shared" si="8"/>
        <v>27934519.477586206</v>
      </c>
      <c r="AE32" s="12">
        <f t="shared" si="8"/>
        <v>29805814.508620691</v>
      </c>
      <c r="AF32" s="12">
        <f t="shared" si="8"/>
        <v>30332109.449999999</v>
      </c>
      <c r="AG32" s="12">
        <f t="shared" si="8"/>
        <v>27403374.048275862</v>
      </c>
      <c r="AH32" s="12">
        <f t="shared" si="8"/>
        <v>27749450.231034484</v>
      </c>
      <c r="AI32" s="12">
        <f t="shared" si="8"/>
        <v>30050405.068965517</v>
      </c>
      <c r="AJ32" s="12">
        <f t="shared" si="8"/>
        <v>30437480.767241385</v>
      </c>
      <c r="AK32" s="12">
        <f t="shared" si="8"/>
        <v>30378027.565517243</v>
      </c>
      <c r="AL32" s="12">
        <f t="shared" si="8"/>
        <v>30976636.094827585</v>
      </c>
      <c r="AM32" s="12">
        <f t="shared" si="8"/>
        <v>32660108.822413787</v>
      </c>
      <c r="AN32" s="12">
        <f t="shared" si="8"/>
        <v>35016572.762068965</v>
      </c>
      <c r="AO32" s="12">
        <f t="shared" si="8"/>
        <v>29860812.591379311</v>
      </c>
      <c r="AP32" s="12">
        <f t="shared" si="8"/>
        <v>30923187.932758622</v>
      </c>
      <c r="AQ32" s="12">
        <f t="shared" si="8"/>
        <v>32627770.236206897</v>
      </c>
      <c r="AR32" s="12">
        <f t="shared" si="8"/>
        <v>28772233.19827586</v>
      </c>
      <c r="AS32" s="12">
        <f t="shared" si="8"/>
        <v>31089194.086206898</v>
      </c>
      <c r="AT32" s="12">
        <f t="shared" si="8"/>
        <v>33293340.079310339</v>
      </c>
      <c r="AU32" s="12">
        <f t="shared" si="8"/>
        <v>32654713.84310345</v>
      </c>
      <c r="AV32" s="12">
        <f t="shared" si="8"/>
        <v>32889283.525862068</v>
      </c>
      <c r="AW32" s="39">
        <f t="shared" si="8"/>
        <v>28685431.763793103</v>
      </c>
      <c r="AX32" s="39">
        <f t="shared" si="8"/>
        <v>31824693.079310346</v>
      </c>
      <c r="AY32" s="39">
        <f t="shared" si="8"/>
        <v>31447193.103448275</v>
      </c>
      <c r="AZ32" s="39">
        <f t="shared" si="8"/>
        <v>31875171.182758622</v>
      </c>
      <c r="BA32" s="123">
        <f t="shared" si="8"/>
        <v>32063448.275862068</v>
      </c>
      <c r="BB32" s="123">
        <f t="shared" si="7"/>
        <v>30617758.620689657</v>
      </c>
      <c r="BC32" s="123">
        <f t="shared" si="7"/>
        <v>30617758.620689657</v>
      </c>
      <c r="BD32" s="124">
        <f t="shared" ref="BB32:BD33" si="9">BD29*1000000000/5800000</f>
        <v>28586206.896551725</v>
      </c>
      <c r="BE32" s="124">
        <f>BE29*1000000000/5800000</f>
        <v>31637931.034482758</v>
      </c>
      <c r="BF32" s="117">
        <f t="shared" si="5"/>
        <v>-6.6352071988872829E-2</v>
      </c>
    </row>
    <row r="33" spans="1:58" s="12" customFormat="1" x14ac:dyDescent="0.25">
      <c r="A33" s="12">
        <v>13</v>
      </c>
      <c r="B33" s="12" t="s">
        <v>215</v>
      </c>
      <c r="C33" s="12">
        <f>C30*1000000000/5800000</f>
        <v>60716545.306896552</v>
      </c>
      <c r="D33" s="12">
        <f t="shared" si="8"/>
        <v>59833812.132758617</v>
      </c>
      <c r="E33" s="12">
        <f t="shared" si="8"/>
        <v>63537314.512068965</v>
      </c>
      <c r="F33" s="12">
        <f t="shared" si="8"/>
        <v>64246154.396551721</v>
      </c>
      <c r="G33" s="12">
        <f t="shared" si="8"/>
        <v>67251620.263793111</v>
      </c>
      <c r="H33" s="12">
        <f t="shared" si="8"/>
        <v>70438549.31034483</v>
      </c>
      <c r="I33" s="12">
        <f t="shared" si="8"/>
        <v>74287219.994827583</v>
      </c>
      <c r="J33" s="12">
        <f t="shared" si="8"/>
        <v>70767378.717241377</v>
      </c>
      <c r="K33" s="12">
        <f t="shared" si="8"/>
        <v>74088182.815517247</v>
      </c>
      <c r="L33" s="12">
        <f t="shared" si="8"/>
        <v>75640202.268965513</v>
      </c>
      <c r="M33" s="12">
        <f t="shared" si="8"/>
        <v>79470622.28793104</v>
      </c>
      <c r="N33" s="12">
        <f t="shared" si="8"/>
        <v>85452426.236206889</v>
      </c>
      <c r="O33" s="12">
        <f t="shared" si="8"/>
        <v>87903604.965517238</v>
      </c>
      <c r="P33" s="12">
        <f t="shared" si="8"/>
        <v>92128144.724137917</v>
      </c>
      <c r="Q33" s="12">
        <f t="shared" si="8"/>
        <v>85432792.206896558</v>
      </c>
      <c r="R33" s="12">
        <f t="shared" si="8"/>
        <v>82189595.482758626</v>
      </c>
      <c r="S33" s="12">
        <f t="shared" si="8"/>
        <v>85693084.396551728</v>
      </c>
      <c r="T33" s="12">
        <f t="shared" si="8"/>
        <v>88048845.172413796</v>
      </c>
      <c r="U33" s="12">
        <f t="shared" si="8"/>
        <v>86913867.948275864</v>
      </c>
      <c r="V33" s="12">
        <f t="shared" si="8"/>
        <v>87740577.922413796</v>
      </c>
      <c r="W33" s="12">
        <f t="shared" si="8"/>
        <v>81970053.094827592</v>
      </c>
      <c r="X33" s="12">
        <f t="shared" si="8"/>
        <v>77694912.381034479</v>
      </c>
      <c r="Y33" s="12">
        <f t="shared" si="8"/>
        <v>74221044.165517241</v>
      </c>
      <c r="Z33" s="12">
        <f t="shared" si="8"/>
        <v>76903821.162068963</v>
      </c>
      <c r="AA33" s="12">
        <f t="shared" si="8"/>
        <v>83128442.774137929</v>
      </c>
      <c r="AB33" s="12">
        <f t="shared" si="8"/>
        <v>77170307.277586207</v>
      </c>
      <c r="AC33" s="12">
        <f t="shared" si="8"/>
        <v>78428948.531034485</v>
      </c>
      <c r="AD33" s="12">
        <f t="shared" si="8"/>
        <v>83477950.591379315</v>
      </c>
      <c r="AE33" s="12">
        <f t="shared" si="8"/>
        <v>84666234.912068963</v>
      </c>
      <c r="AF33" s="12">
        <f t="shared" si="8"/>
        <v>85373291.529310346</v>
      </c>
      <c r="AG33" s="12">
        <f t="shared" si="8"/>
        <v>79091216.520689651</v>
      </c>
      <c r="AH33" s="12">
        <f t="shared" si="8"/>
        <v>76236797.763793111</v>
      </c>
      <c r="AI33" s="12">
        <f t="shared" si="8"/>
        <v>79292568.363793105</v>
      </c>
      <c r="AJ33" s="12">
        <f t="shared" si="8"/>
        <v>80632571.843103454</v>
      </c>
      <c r="AK33" s="12">
        <f t="shared" si="8"/>
        <v>81254381.303448275</v>
      </c>
      <c r="AL33" s="12">
        <f t="shared" si="8"/>
        <v>80210073.872413799</v>
      </c>
      <c r="AM33" s="12">
        <f t="shared" si="8"/>
        <v>83489136.479310349</v>
      </c>
      <c r="AN33" s="12">
        <f t="shared" si="8"/>
        <v>84535394.125862062</v>
      </c>
      <c r="AO33" s="12">
        <f t="shared" si="8"/>
        <v>86810052.182758614</v>
      </c>
      <c r="AP33" s="12">
        <f t="shared" si="8"/>
        <v>89525911.432758614</v>
      </c>
      <c r="AQ33" s="12">
        <f t="shared" si="8"/>
        <v>89845387.191379309</v>
      </c>
      <c r="AR33" s="12">
        <f t="shared" si="8"/>
        <v>91837199.62068966</v>
      </c>
      <c r="AS33" s="12">
        <f t="shared" si="8"/>
        <v>90161396.775862068</v>
      </c>
      <c r="AT33" s="12">
        <f t="shared" si="8"/>
        <v>91315139.874137923</v>
      </c>
      <c r="AU33" s="12">
        <f t="shared" si="8"/>
        <v>96206614.115517244</v>
      </c>
      <c r="AV33" s="12">
        <f t="shared" si="8"/>
        <v>98525361.251724139</v>
      </c>
      <c r="AW33" s="39">
        <f t="shared" si="8"/>
        <v>94623017.927586213</v>
      </c>
      <c r="AX33" s="39">
        <f t="shared" si="8"/>
        <v>93738895.12068966</v>
      </c>
      <c r="AY33" s="39">
        <f t="shared" si="8"/>
        <v>90672732.758620694</v>
      </c>
      <c r="AZ33" s="39">
        <f t="shared" si="8"/>
        <v>92475039.377586201</v>
      </c>
      <c r="BA33" s="123">
        <f t="shared" si="8"/>
        <v>88643103.448275864</v>
      </c>
      <c r="BB33" s="123">
        <f t="shared" si="9"/>
        <v>85448965.517241374</v>
      </c>
      <c r="BC33" s="123">
        <f t="shared" si="9"/>
        <v>85448965.517241374</v>
      </c>
      <c r="BD33" s="125">
        <f>BD30*1000000000/5800000</f>
        <v>83689655.172413796</v>
      </c>
      <c r="BE33" s="125">
        <f>BE30*1000000000/5800000</f>
        <v>83689655.172413796</v>
      </c>
      <c r="BF33" s="117">
        <f t="shared" si="5"/>
        <v>-2.0589018651988145E-2</v>
      </c>
    </row>
    <row r="34" spans="1:58" s="12" customFormat="1" x14ac:dyDescent="0.25">
      <c r="A34" s="12">
        <v>14</v>
      </c>
      <c r="B34" s="12" t="s">
        <v>216</v>
      </c>
      <c r="C34" s="12">
        <f>C33+C32+C31</f>
        <v>98235162.950000003</v>
      </c>
      <c r="D34" s="12">
        <f t="shared" ref="D34:BA34" si="10">D33+D32+D31</f>
        <v>97682655.672413796</v>
      </c>
      <c r="E34" s="12">
        <f t="shared" si="10"/>
        <v>104731597.71034484</v>
      </c>
      <c r="F34" s="12">
        <f t="shared" si="10"/>
        <v>107422919.43275863</v>
      </c>
      <c r="G34" s="12">
        <f t="shared" si="10"/>
        <v>113416638.73448277</v>
      </c>
      <c r="H34" s="12">
        <f t="shared" si="10"/>
        <v>116922540.46206897</v>
      </c>
      <c r="I34" s="12">
        <f t="shared" si="10"/>
        <v>120212550.85172413</v>
      </c>
      <c r="J34" s="12">
        <f t="shared" si="10"/>
        <v>119948118.81206897</v>
      </c>
      <c r="K34" s="12">
        <f t="shared" si="10"/>
        <v>125230618.62068966</v>
      </c>
      <c r="L34" s="12">
        <f t="shared" si="10"/>
        <v>130846251.57068965</v>
      </c>
      <c r="M34" s="12">
        <f t="shared" si="10"/>
        <v>133394292.68620691</v>
      </c>
      <c r="N34" s="12">
        <f t="shared" si="10"/>
        <v>136647925.50172412</v>
      </c>
      <c r="O34" s="12">
        <f t="shared" si="10"/>
        <v>137551929.19999999</v>
      </c>
      <c r="P34" s="12">
        <f t="shared" si="10"/>
        <v>148769082.89482757</v>
      </c>
      <c r="Q34" s="12">
        <f t="shared" si="10"/>
        <v>134147561.19310345</v>
      </c>
      <c r="R34" s="12">
        <f t="shared" si="10"/>
        <v>124326294.12068968</v>
      </c>
      <c r="S34" s="12">
        <f t="shared" si="10"/>
        <v>132243188.65517241</v>
      </c>
      <c r="T34" s="12">
        <f t="shared" si="10"/>
        <v>125399899.93103449</v>
      </c>
      <c r="U34" s="12">
        <f t="shared" si="10"/>
        <v>126671819.73275863</v>
      </c>
      <c r="V34" s="12">
        <f t="shared" si="10"/>
        <v>136003265.03103447</v>
      </c>
      <c r="W34" s="12">
        <f t="shared" si="10"/>
        <v>124650760.24482758</v>
      </c>
      <c r="X34" s="12">
        <f t="shared" si="10"/>
        <v>121597034.97413793</v>
      </c>
      <c r="Y34" s="12">
        <f t="shared" si="10"/>
        <v>114567842.6775862</v>
      </c>
      <c r="Z34" s="12">
        <f t="shared" si="10"/>
        <v>115144456.02586207</v>
      </c>
      <c r="AA34" s="12">
        <f t="shared" si="10"/>
        <v>124965691.89137933</v>
      </c>
      <c r="AB34" s="12">
        <f t="shared" si="10"/>
        <v>117227460.93103449</v>
      </c>
      <c r="AC34" s="12">
        <f t="shared" si="10"/>
        <v>117866427.68103449</v>
      </c>
      <c r="AD34" s="12">
        <f t="shared" si="10"/>
        <v>125259975.26034483</v>
      </c>
      <c r="AE34" s="12">
        <f t="shared" si="10"/>
        <v>126826897.32931034</v>
      </c>
      <c r="AF34" s="12">
        <f t="shared" si="10"/>
        <v>126848181.55172415</v>
      </c>
      <c r="AG34" s="12">
        <f t="shared" si="10"/>
        <v>116594670.08793102</v>
      </c>
      <c r="AH34" s="12">
        <f t="shared" si="10"/>
        <v>113272173.77758622</v>
      </c>
      <c r="AI34" s="12">
        <f t="shared" si="10"/>
        <v>112469964.84482759</v>
      </c>
      <c r="AJ34" s="12">
        <f t="shared" si="10"/>
        <v>114322543.3586207</v>
      </c>
      <c r="AK34" s="12">
        <f t="shared" si="10"/>
        <v>115022298.80344827</v>
      </c>
      <c r="AL34" s="12">
        <f t="shared" si="10"/>
        <v>115776860.12413792</v>
      </c>
      <c r="AM34" s="12">
        <f t="shared" si="10"/>
        <v>119729477.63965517</v>
      </c>
      <c r="AN34" s="12">
        <f t="shared" si="10"/>
        <v>123114202.77413791</v>
      </c>
      <c r="AO34" s="12">
        <f t="shared" si="10"/>
        <v>120220469.84310344</v>
      </c>
      <c r="AP34" s="12">
        <f t="shared" si="10"/>
        <v>124086765.10172412</v>
      </c>
      <c r="AQ34" s="12">
        <f t="shared" si="10"/>
        <v>126337753.99482758</v>
      </c>
      <c r="AR34" s="12">
        <f t="shared" si="10"/>
        <v>126731138.74310346</v>
      </c>
      <c r="AS34" s="12">
        <f t="shared" si="10"/>
        <v>127134686.66896552</v>
      </c>
      <c r="AT34" s="12">
        <f t="shared" si="10"/>
        <v>130121837.56551723</v>
      </c>
      <c r="AU34" s="12">
        <f t="shared" si="10"/>
        <v>135055138.29310346</v>
      </c>
      <c r="AV34" s="12">
        <f t="shared" si="10"/>
        <v>137235002.15862069</v>
      </c>
      <c r="AW34" s="39">
        <f t="shared" si="10"/>
        <v>128735453.78965518</v>
      </c>
      <c r="AX34" s="39">
        <f t="shared" si="10"/>
        <v>130870341.02068965</v>
      </c>
      <c r="AY34" s="39">
        <f t="shared" si="10"/>
        <v>127196965.14482759</v>
      </c>
      <c r="AZ34" s="39">
        <f t="shared" si="10"/>
        <v>128291851.73965517</v>
      </c>
      <c r="BA34" s="123">
        <f t="shared" si="10"/>
        <v>124693275.86206897</v>
      </c>
      <c r="BB34" s="123">
        <f>BB33+BB32+BB31</f>
        <v>119906724.13793103</v>
      </c>
      <c r="BC34" s="123">
        <f>BC33+BC32+BC31</f>
        <v>119906724.13793103</v>
      </c>
      <c r="BD34" s="124">
        <f>BD33+BD32+BD31</f>
        <v>115896551.72413793</v>
      </c>
      <c r="BE34" s="124">
        <f>BE33+BE32+BE31</f>
        <v>118017241.37931035</v>
      </c>
      <c r="BF34" s="117">
        <f t="shared" si="5"/>
        <v>-3.344409950838223E-2</v>
      </c>
    </row>
    <row r="35" spans="1:58" s="11" customFormat="1" x14ac:dyDescent="0.25">
      <c r="A35" s="11">
        <v>15</v>
      </c>
      <c r="B35" s="11" t="s">
        <v>217</v>
      </c>
      <c r="C35" s="11">
        <f>C34*116</f>
        <v>11395278902.200001</v>
      </c>
      <c r="D35" s="11">
        <f t="shared" ref="D35:BA35" si="11">D34*116</f>
        <v>11331188058</v>
      </c>
      <c r="E35" s="11">
        <f t="shared" si="11"/>
        <v>12148865334.400002</v>
      </c>
      <c r="F35" s="11">
        <f t="shared" si="11"/>
        <v>12461058654.200001</v>
      </c>
      <c r="G35" s="11">
        <f t="shared" si="11"/>
        <v>13156330093.200001</v>
      </c>
      <c r="H35" s="11">
        <f t="shared" si="11"/>
        <v>13563014693.6</v>
      </c>
      <c r="I35" s="11">
        <f t="shared" si="11"/>
        <v>13944655898.799999</v>
      </c>
      <c r="J35" s="11">
        <f t="shared" si="11"/>
        <v>13913981782.200001</v>
      </c>
      <c r="K35" s="11">
        <f t="shared" si="11"/>
        <v>14526751760</v>
      </c>
      <c r="L35" s="11">
        <f t="shared" si="11"/>
        <v>15178165182.199999</v>
      </c>
      <c r="M35" s="11">
        <f t="shared" si="11"/>
        <v>15473737951.6</v>
      </c>
      <c r="N35" s="11">
        <f t="shared" si="11"/>
        <v>15851159358.199999</v>
      </c>
      <c r="O35" s="11">
        <f t="shared" si="11"/>
        <v>15956023787.199999</v>
      </c>
      <c r="P35" s="11">
        <f t="shared" si="11"/>
        <v>17257213615.799999</v>
      </c>
      <c r="Q35" s="11">
        <f t="shared" si="11"/>
        <v>15561117098.4</v>
      </c>
      <c r="R35" s="11">
        <f t="shared" si="11"/>
        <v>14421850118.000002</v>
      </c>
      <c r="S35" s="11">
        <f t="shared" si="11"/>
        <v>15340209884</v>
      </c>
      <c r="T35" s="11">
        <f t="shared" si="11"/>
        <v>14546388392</v>
      </c>
      <c r="U35" s="11">
        <f t="shared" si="11"/>
        <v>14693931089</v>
      </c>
      <c r="V35" s="11">
        <f t="shared" si="11"/>
        <v>15776378743.599998</v>
      </c>
      <c r="W35" s="11">
        <f t="shared" si="11"/>
        <v>14459488188.4</v>
      </c>
      <c r="X35" s="11">
        <f t="shared" si="11"/>
        <v>14105256057</v>
      </c>
      <c r="Y35" s="11">
        <f t="shared" si="11"/>
        <v>13289869750.599998</v>
      </c>
      <c r="Z35" s="11">
        <f t="shared" si="11"/>
        <v>13356756899</v>
      </c>
      <c r="AA35" s="11">
        <f t="shared" si="11"/>
        <v>14496020259.400002</v>
      </c>
      <c r="AB35" s="11">
        <f t="shared" si="11"/>
        <v>13598385468</v>
      </c>
      <c r="AC35" s="11">
        <f t="shared" si="11"/>
        <v>13672505611</v>
      </c>
      <c r="AD35" s="11">
        <f t="shared" si="11"/>
        <v>14530157130.200001</v>
      </c>
      <c r="AE35" s="11">
        <f t="shared" si="11"/>
        <v>14711920090.199999</v>
      </c>
      <c r="AF35" s="11">
        <f t="shared" si="11"/>
        <v>14714389060.000002</v>
      </c>
      <c r="AG35" s="11">
        <f t="shared" si="11"/>
        <v>13524981730.199999</v>
      </c>
      <c r="AH35" s="11">
        <f t="shared" si="11"/>
        <v>13139572158.200001</v>
      </c>
      <c r="AI35" s="11">
        <f t="shared" si="11"/>
        <v>13046515922</v>
      </c>
      <c r="AJ35" s="11">
        <f t="shared" si="11"/>
        <v>13261415029.600002</v>
      </c>
      <c r="AK35" s="11">
        <f t="shared" si="11"/>
        <v>13342586661.200001</v>
      </c>
      <c r="AL35" s="11">
        <f t="shared" si="11"/>
        <v>13430115774.4</v>
      </c>
      <c r="AM35" s="11">
        <f t="shared" si="11"/>
        <v>13888619406.200001</v>
      </c>
      <c r="AN35" s="11">
        <f t="shared" si="11"/>
        <v>14281247521.799997</v>
      </c>
      <c r="AO35" s="11">
        <f t="shared" si="11"/>
        <v>13945574501.799999</v>
      </c>
      <c r="AP35" s="11">
        <f t="shared" si="11"/>
        <v>14394064751.799997</v>
      </c>
      <c r="AQ35" s="11">
        <f t="shared" si="11"/>
        <v>14655179463.4</v>
      </c>
      <c r="AR35" s="11">
        <f t="shared" si="11"/>
        <v>14700812094.200001</v>
      </c>
      <c r="AS35" s="11">
        <f t="shared" si="11"/>
        <v>14747623653.6</v>
      </c>
      <c r="AT35" s="11">
        <f t="shared" si="11"/>
        <v>15094133157.599998</v>
      </c>
      <c r="AU35" s="11">
        <f t="shared" si="11"/>
        <v>15666396042</v>
      </c>
      <c r="AV35" s="11">
        <f t="shared" si="11"/>
        <v>15919260250.4</v>
      </c>
      <c r="AW35" s="57">
        <f t="shared" si="11"/>
        <v>14933312639.6</v>
      </c>
      <c r="AX35" s="57">
        <f t="shared" si="11"/>
        <v>15180959558.4</v>
      </c>
      <c r="AY35" s="57">
        <f t="shared" si="11"/>
        <v>14754847956.800001</v>
      </c>
      <c r="AZ35" s="57">
        <f t="shared" si="11"/>
        <v>14881854801.799999</v>
      </c>
      <c r="BA35" s="57">
        <f t="shared" si="11"/>
        <v>14464420000</v>
      </c>
      <c r="BB35" s="57">
        <f>BB34*116</f>
        <v>13909180000</v>
      </c>
      <c r="BC35" s="57">
        <f>BC34*116</f>
        <v>13909180000</v>
      </c>
      <c r="BD35" s="124">
        <f>BD34*116</f>
        <v>13444000000</v>
      </c>
      <c r="BE35" s="124">
        <f>BE34*116</f>
        <v>13690000000.000002</v>
      </c>
      <c r="BF35" s="117">
        <f t="shared" si="5"/>
        <v>-3.344409950838223E-2</v>
      </c>
    </row>
    <row r="36" spans="1:58" s="12" customFormat="1" x14ac:dyDescent="0.25">
      <c r="A36" s="12">
        <v>16</v>
      </c>
      <c r="B36" s="12" t="s">
        <v>218</v>
      </c>
      <c r="C36" s="23">
        <v>8756.268</v>
      </c>
      <c r="D36" s="23">
        <v>9387.4339999999993</v>
      </c>
      <c r="E36" s="23">
        <v>10093.275</v>
      </c>
      <c r="F36" s="23">
        <v>10987.12</v>
      </c>
      <c r="G36" s="23">
        <v>12176.380999999999</v>
      </c>
      <c r="H36" s="23">
        <v>13394.174999999999</v>
      </c>
      <c r="I36" s="23">
        <v>15088.38</v>
      </c>
      <c r="J36" s="23">
        <v>16468.024000000001</v>
      </c>
      <c r="K36" s="23">
        <v>18321.823</v>
      </c>
      <c r="L36" s="23">
        <v>20238.098000000002</v>
      </c>
      <c r="M36" s="23">
        <v>22505.859</v>
      </c>
      <c r="N36" s="23">
        <v>24169.635999999999</v>
      </c>
      <c r="O36" s="23">
        <v>25266.269</v>
      </c>
      <c r="P36" s="23">
        <v>27739.143</v>
      </c>
      <c r="Q36" s="23">
        <v>26861.065999999999</v>
      </c>
      <c r="R36" s="23">
        <v>27301.593000000001</v>
      </c>
      <c r="S36" s="23">
        <v>29931.552</v>
      </c>
      <c r="T36" s="23">
        <v>31479.503000000001</v>
      </c>
      <c r="U36" s="23">
        <v>32450.329000000002</v>
      </c>
      <c r="V36" s="23">
        <v>33478</v>
      </c>
      <c r="W36" s="23">
        <v>34586</v>
      </c>
      <c r="X36" s="23">
        <v>35583.004000000001</v>
      </c>
      <c r="Y36" s="23">
        <v>34947.025999999998</v>
      </c>
      <c r="Z36" s="23">
        <v>36681.631000000001</v>
      </c>
      <c r="AA36" s="23">
        <v>38374.017</v>
      </c>
      <c r="AB36" s="23">
        <v>39326.631999999998</v>
      </c>
      <c r="AC36" s="23">
        <v>41960.616000000002</v>
      </c>
      <c r="AD36" s="23">
        <v>44908.014999999999</v>
      </c>
      <c r="AE36" s="23">
        <v>47563.968999999997</v>
      </c>
      <c r="AF36" s="23">
        <v>49258.686000000002</v>
      </c>
      <c r="AG36" s="23">
        <v>49533.73</v>
      </c>
      <c r="AH36" s="23">
        <v>51107.809000000001</v>
      </c>
      <c r="AI36" s="23">
        <v>50988.788</v>
      </c>
      <c r="AJ36" s="23">
        <v>53872.404000000002</v>
      </c>
      <c r="AK36" s="23">
        <v>54751.623</v>
      </c>
      <c r="AL36" s="23">
        <v>56158.044999999998</v>
      </c>
      <c r="AM36" s="23">
        <v>56997.52</v>
      </c>
      <c r="AN36" s="23">
        <v>56264.487999999998</v>
      </c>
      <c r="AO36" s="23">
        <v>57833.637999999999</v>
      </c>
      <c r="AP36" s="23">
        <v>59086.224999999999</v>
      </c>
      <c r="AQ36" s="23">
        <v>60677.803999999996</v>
      </c>
      <c r="AR36" s="23">
        <v>61640.02</v>
      </c>
      <c r="AS36" s="23">
        <v>68379.906000000003</v>
      </c>
      <c r="AT36" s="23">
        <v>71258.582999999999</v>
      </c>
      <c r="AU36" s="23">
        <v>66891.7</v>
      </c>
      <c r="AV36" s="23">
        <v>68365.384999999995</v>
      </c>
      <c r="AW36" s="123">
        <v>63173.142999999996</v>
      </c>
      <c r="AX36" s="123">
        <v>65390.66</v>
      </c>
      <c r="AY36" s="123">
        <v>63325.78</v>
      </c>
      <c r="AZ36" s="120">
        <v>62589.142999999996</v>
      </c>
      <c r="BA36" s="39">
        <v>65335</v>
      </c>
      <c r="BB36" s="39">
        <v>65335</v>
      </c>
      <c r="BC36" s="39">
        <v>65335</v>
      </c>
      <c r="BD36" s="121">
        <v>61800</v>
      </c>
      <c r="BF36" s="117">
        <f t="shared" si="5"/>
        <v>-5.4105762608096741E-2</v>
      </c>
    </row>
    <row r="37" spans="1:58" s="12" customFormat="1" x14ac:dyDescent="0.25">
      <c r="A37" s="12">
        <v>17</v>
      </c>
      <c r="B37" s="12" t="s">
        <v>219</v>
      </c>
      <c r="C37" s="119">
        <v>1357.6967400000001</v>
      </c>
      <c r="D37" s="119">
        <v>1139.2016100000001</v>
      </c>
      <c r="E37" s="119">
        <v>1148.34512</v>
      </c>
      <c r="F37" s="119">
        <v>970.70581000000004</v>
      </c>
      <c r="G37" s="119">
        <v>1111.90472</v>
      </c>
      <c r="H37" s="119">
        <v>1140.8328300000001</v>
      </c>
      <c r="I37" s="119">
        <v>1321.8639499999999</v>
      </c>
      <c r="J37" s="119">
        <v>1922.972</v>
      </c>
      <c r="K37" s="119">
        <v>1608.7770499999999</v>
      </c>
      <c r="L37" s="119">
        <v>1358.5879199999999</v>
      </c>
      <c r="M37" s="119">
        <v>1906.7270000000001</v>
      </c>
      <c r="N37" s="119">
        <v>1772.903</v>
      </c>
      <c r="O37" s="23">
        <v>2282.2660000000001</v>
      </c>
      <c r="P37" s="23">
        <v>2164.7719999999999</v>
      </c>
      <c r="Q37" s="23">
        <v>1969.1489999999999</v>
      </c>
      <c r="R37" s="23">
        <v>2311.0610000000001</v>
      </c>
      <c r="S37" s="23">
        <v>2088.4180000000001</v>
      </c>
      <c r="T37" s="23">
        <v>2017.585</v>
      </c>
      <c r="U37" s="23">
        <v>1735.4929999999999</v>
      </c>
      <c r="V37" s="23">
        <v>2191.076</v>
      </c>
      <c r="W37" s="23">
        <v>1269.6559999999999</v>
      </c>
      <c r="X37" s="23">
        <v>1425.6120000000001</v>
      </c>
      <c r="Y37" s="23">
        <v>1340.8969999999999</v>
      </c>
      <c r="Z37" s="23">
        <v>1765.4829999999999</v>
      </c>
      <c r="AA37" s="23">
        <v>2022.2909999999999</v>
      </c>
      <c r="AB37" s="23">
        <v>1523.7460000000001</v>
      </c>
      <c r="AC37" s="23">
        <v>1876.04</v>
      </c>
      <c r="AD37" s="23">
        <v>1612.0260000000001</v>
      </c>
      <c r="AE37" s="23">
        <v>1327.501</v>
      </c>
      <c r="AF37" s="23">
        <v>1777.9659999999999</v>
      </c>
      <c r="AG37" s="23">
        <v>2298.91</v>
      </c>
      <c r="AH37" s="23">
        <v>1407.287</v>
      </c>
      <c r="AI37" s="23">
        <v>1824.6590000000001</v>
      </c>
      <c r="AJ37" s="23">
        <v>1658.271</v>
      </c>
      <c r="AK37" s="23">
        <v>2009.5360000000001</v>
      </c>
      <c r="AL37" s="23">
        <v>1442.0060000000001</v>
      </c>
      <c r="AM37" s="23">
        <v>2457.4630000000002</v>
      </c>
      <c r="AN37" s="23">
        <v>1588.375</v>
      </c>
      <c r="AO37" s="23">
        <v>1739.7370000000001</v>
      </c>
      <c r="AP37" s="23">
        <v>1424.1969999999999</v>
      </c>
      <c r="AQ37" s="23">
        <v>1732.6189999999999</v>
      </c>
      <c r="AR37" s="23">
        <v>1183.518</v>
      </c>
      <c r="AS37" s="23">
        <v>1660.989</v>
      </c>
      <c r="AT37" s="23">
        <v>2646.9839999999999</v>
      </c>
      <c r="AU37" s="23">
        <v>2507.5210000000002</v>
      </c>
      <c r="AV37" s="23">
        <v>1703.6389999999999</v>
      </c>
      <c r="AW37" s="123">
        <v>2104.2750000000001</v>
      </c>
      <c r="AX37" s="123">
        <v>1652.2164600000001</v>
      </c>
      <c r="AY37" s="123">
        <v>1974.08</v>
      </c>
      <c r="AZ37" s="123">
        <v>1888.77</v>
      </c>
      <c r="BA37" s="39">
        <v>1667</v>
      </c>
      <c r="BB37" s="39">
        <v>1667</v>
      </c>
      <c r="BC37" s="39">
        <v>1667</v>
      </c>
      <c r="BD37" s="121">
        <v>1700</v>
      </c>
      <c r="BF37" s="117">
        <f t="shared" si="5"/>
        <v>1.9796040791841607E-2</v>
      </c>
    </row>
    <row r="38" spans="1:58" s="12" customFormat="1" x14ac:dyDescent="0.25">
      <c r="A38" s="12">
        <v>18</v>
      </c>
      <c r="B38" s="12" t="s">
        <v>220</v>
      </c>
      <c r="C38" s="23">
        <f>C36-C37</f>
        <v>7398.5712599999997</v>
      </c>
      <c r="D38" s="23">
        <f t="shared" ref="D38:BA38" si="12">D36-D37</f>
        <v>8248.2323899999992</v>
      </c>
      <c r="E38" s="23">
        <f t="shared" si="12"/>
        <v>8944.9298799999997</v>
      </c>
      <c r="F38" s="23">
        <f t="shared" si="12"/>
        <v>10016.414190000001</v>
      </c>
      <c r="G38" s="23">
        <f t="shared" si="12"/>
        <v>11064.476279999999</v>
      </c>
      <c r="H38" s="23">
        <f t="shared" si="12"/>
        <v>12253.34217</v>
      </c>
      <c r="I38" s="23">
        <f t="shared" si="12"/>
        <v>13766.516049999998</v>
      </c>
      <c r="J38" s="23">
        <f t="shared" si="12"/>
        <v>14545.052000000001</v>
      </c>
      <c r="K38" s="23">
        <f t="shared" si="12"/>
        <v>16713.04595</v>
      </c>
      <c r="L38" s="23">
        <f t="shared" si="12"/>
        <v>18879.51008</v>
      </c>
      <c r="M38" s="23">
        <f t="shared" si="12"/>
        <v>20599.132000000001</v>
      </c>
      <c r="N38" s="23">
        <f t="shared" si="12"/>
        <v>22396.733</v>
      </c>
      <c r="O38" s="23">
        <f t="shared" si="12"/>
        <v>22984.003000000001</v>
      </c>
      <c r="P38" s="23">
        <f t="shared" si="12"/>
        <v>25574.370999999999</v>
      </c>
      <c r="Q38" s="23">
        <f t="shared" si="12"/>
        <v>24891.916999999998</v>
      </c>
      <c r="R38" s="23">
        <f t="shared" si="12"/>
        <v>24990.531999999999</v>
      </c>
      <c r="S38" s="23">
        <f t="shared" si="12"/>
        <v>27843.133999999998</v>
      </c>
      <c r="T38" s="23">
        <f t="shared" si="12"/>
        <v>29461.918000000001</v>
      </c>
      <c r="U38" s="23">
        <f t="shared" si="12"/>
        <v>30714.836000000003</v>
      </c>
      <c r="V38" s="23">
        <f t="shared" si="12"/>
        <v>31286.923999999999</v>
      </c>
      <c r="W38" s="23">
        <f t="shared" si="12"/>
        <v>33316.343999999997</v>
      </c>
      <c r="X38" s="23">
        <f t="shared" si="12"/>
        <v>34157.392</v>
      </c>
      <c r="Y38" s="23">
        <f t="shared" si="12"/>
        <v>33606.129000000001</v>
      </c>
      <c r="Z38" s="23">
        <f t="shared" si="12"/>
        <v>34916.148000000001</v>
      </c>
      <c r="AA38" s="23">
        <f t="shared" si="12"/>
        <v>36351.726000000002</v>
      </c>
      <c r="AB38" s="23">
        <f t="shared" si="12"/>
        <v>37802.885999999999</v>
      </c>
      <c r="AC38" s="23">
        <f t="shared" si="12"/>
        <v>40084.576000000001</v>
      </c>
      <c r="AD38" s="23">
        <f t="shared" si="12"/>
        <v>43295.989000000001</v>
      </c>
      <c r="AE38" s="23">
        <f t="shared" si="12"/>
        <v>46236.468000000001</v>
      </c>
      <c r="AF38" s="23">
        <f t="shared" si="12"/>
        <v>47480.72</v>
      </c>
      <c r="AG38" s="23">
        <f t="shared" si="12"/>
        <v>47234.820000000007</v>
      </c>
      <c r="AH38" s="23">
        <f t="shared" si="12"/>
        <v>49700.522000000004</v>
      </c>
      <c r="AI38" s="23">
        <f t="shared" si="12"/>
        <v>49164.129000000001</v>
      </c>
      <c r="AJ38" s="23">
        <f t="shared" si="12"/>
        <v>52214.133000000002</v>
      </c>
      <c r="AK38" s="23">
        <f t="shared" si="12"/>
        <v>52742.087</v>
      </c>
      <c r="AL38" s="23">
        <f t="shared" si="12"/>
        <v>54716.038999999997</v>
      </c>
      <c r="AM38" s="23">
        <f t="shared" si="12"/>
        <v>54540.056999999993</v>
      </c>
      <c r="AN38" s="23">
        <f t="shared" si="12"/>
        <v>54676.112999999998</v>
      </c>
      <c r="AO38" s="23">
        <f t="shared" si="12"/>
        <v>56093.900999999998</v>
      </c>
      <c r="AP38" s="23">
        <f t="shared" si="12"/>
        <v>57662.027999999998</v>
      </c>
      <c r="AQ38" s="23">
        <f t="shared" si="12"/>
        <v>58945.184999999998</v>
      </c>
      <c r="AR38" s="23">
        <f t="shared" si="12"/>
        <v>60456.501999999993</v>
      </c>
      <c r="AS38" s="23">
        <f t="shared" si="12"/>
        <v>66718.917000000001</v>
      </c>
      <c r="AT38" s="23">
        <f t="shared" si="12"/>
        <v>68611.599000000002</v>
      </c>
      <c r="AU38" s="23">
        <f t="shared" si="12"/>
        <v>64384.178999999996</v>
      </c>
      <c r="AV38" s="23">
        <f t="shared" si="12"/>
        <v>66661.745999999999</v>
      </c>
      <c r="AW38" s="123">
        <f t="shared" si="12"/>
        <v>61068.867999999995</v>
      </c>
      <c r="AX38" s="123">
        <f t="shared" si="12"/>
        <v>63738.44354</v>
      </c>
      <c r="AY38" s="123">
        <f t="shared" si="12"/>
        <v>61351.7</v>
      </c>
      <c r="AZ38" s="123">
        <f t="shared" si="12"/>
        <v>60700.373</v>
      </c>
      <c r="BA38" s="123">
        <f t="shared" si="12"/>
        <v>63668</v>
      </c>
      <c r="BB38" s="123">
        <f>BB36-BB37</f>
        <v>63668</v>
      </c>
      <c r="BC38" s="123">
        <f>BC36-BC37</f>
        <v>63668</v>
      </c>
      <c r="BD38" s="124">
        <f>BD36-BD37</f>
        <v>60100</v>
      </c>
      <c r="BE38" s="41">
        <v>57940.150539000002</v>
      </c>
      <c r="BF38" s="117">
        <f t="shared" si="5"/>
        <v>-5.6040711189294434E-2</v>
      </c>
    </row>
    <row r="39" spans="1:58" s="11" customFormat="1" ht="14" thickBot="1" x14ac:dyDescent="0.3">
      <c r="A39" s="11">
        <v>19</v>
      </c>
      <c r="B39" s="11" t="s">
        <v>221</v>
      </c>
      <c r="C39" s="11">
        <f>C38*1000000*0.0875</f>
        <v>647374985.25</v>
      </c>
      <c r="D39" s="11">
        <f t="shared" ref="D39:BA39" si="13">D38*1000000*0.0875</f>
        <v>721720334.12499988</v>
      </c>
      <c r="E39" s="11">
        <f t="shared" si="13"/>
        <v>782681364.5</v>
      </c>
      <c r="F39" s="11">
        <f t="shared" si="13"/>
        <v>876436241.62500012</v>
      </c>
      <c r="G39" s="11">
        <f t="shared" si="13"/>
        <v>968141674.49999976</v>
      </c>
      <c r="H39" s="11">
        <f t="shared" si="13"/>
        <v>1072167439.8749999</v>
      </c>
      <c r="I39" s="11">
        <f t="shared" si="13"/>
        <v>1204570154.3749998</v>
      </c>
      <c r="J39" s="11">
        <f t="shared" si="13"/>
        <v>1272692050</v>
      </c>
      <c r="K39" s="11">
        <f t="shared" si="13"/>
        <v>1462391520.625</v>
      </c>
      <c r="L39" s="11">
        <f t="shared" si="13"/>
        <v>1651957132</v>
      </c>
      <c r="M39" s="11">
        <f t="shared" si="13"/>
        <v>1802424050</v>
      </c>
      <c r="N39" s="11">
        <f t="shared" si="13"/>
        <v>1959714137.4999998</v>
      </c>
      <c r="O39" s="11">
        <f t="shared" si="13"/>
        <v>2011100262.4999998</v>
      </c>
      <c r="P39" s="11">
        <f t="shared" si="13"/>
        <v>2237757462.5</v>
      </c>
      <c r="Q39" s="11">
        <f t="shared" si="13"/>
        <v>2178042737.4999995</v>
      </c>
      <c r="R39" s="11">
        <f t="shared" si="13"/>
        <v>2186671550</v>
      </c>
      <c r="S39" s="11">
        <f t="shared" si="13"/>
        <v>2436274225</v>
      </c>
      <c r="T39" s="11">
        <f t="shared" si="13"/>
        <v>2577917825</v>
      </c>
      <c r="U39" s="11">
        <f t="shared" si="13"/>
        <v>2687548150</v>
      </c>
      <c r="V39" s="11">
        <f t="shared" si="13"/>
        <v>2737605850</v>
      </c>
      <c r="W39" s="11">
        <f t="shared" si="13"/>
        <v>2915180099.9999995</v>
      </c>
      <c r="X39" s="11">
        <f t="shared" si="13"/>
        <v>2988771800</v>
      </c>
      <c r="Y39" s="11">
        <f t="shared" si="13"/>
        <v>2940536287.5</v>
      </c>
      <c r="Z39" s="11">
        <f t="shared" si="13"/>
        <v>3055162950</v>
      </c>
      <c r="AA39" s="11">
        <f t="shared" si="13"/>
        <v>3180776025</v>
      </c>
      <c r="AB39" s="11">
        <f t="shared" si="13"/>
        <v>3307752525</v>
      </c>
      <c r="AC39" s="11">
        <f t="shared" si="13"/>
        <v>3507400400</v>
      </c>
      <c r="AD39" s="11">
        <f t="shared" si="13"/>
        <v>3788399037.4999995</v>
      </c>
      <c r="AE39" s="11">
        <f t="shared" si="13"/>
        <v>4045690949.9999995</v>
      </c>
      <c r="AF39" s="11">
        <f t="shared" si="13"/>
        <v>4154562999.9999995</v>
      </c>
      <c r="AG39" s="11">
        <f t="shared" si="13"/>
        <v>4133046750.0000005</v>
      </c>
      <c r="AH39" s="11">
        <f t="shared" si="13"/>
        <v>4348795675</v>
      </c>
      <c r="AI39" s="11">
        <f t="shared" si="13"/>
        <v>4301861287.5</v>
      </c>
      <c r="AJ39" s="11">
        <f t="shared" si="13"/>
        <v>4568736637.5</v>
      </c>
      <c r="AK39" s="11">
        <f t="shared" si="13"/>
        <v>4614932612.5</v>
      </c>
      <c r="AL39" s="11">
        <f t="shared" si="13"/>
        <v>4787653412.5</v>
      </c>
      <c r="AM39" s="11">
        <f t="shared" si="13"/>
        <v>4772254987.499999</v>
      </c>
      <c r="AN39" s="11">
        <f t="shared" si="13"/>
        <v>4784159887.5</v>
      </c>
      <c r="AO39" s="11">
        <f t="shared" si="13"/>
        <v>4908216337.5</v>
      </c>
      <c r="AP39" s="11">
        <f t="shared" si="13"/>
        <v>5045427450</v>
      </c>
      <c r="AQ39" s="11">
        <f t="shared" si="13"/>
        <v>5157703687.5</v>
      </c>
      <c r="AR39" s="11">
        <f t="shared" si="13"/>
        <v>5289943924.999999</v>
      </c>
      <c r="AS39" s="11">
        <f t="shared" si="13"/>
        <v>5837905237.5</v>
      </c>
      <c r="AT39" s="11">
        <f t="shared" si="13"/>
        <v>6003514912.5</v>
      </c>
      <c r="AU39" s="11">
        <f t="shared" si="13"/>
        <v>5633615662.5</v>
      </c>
      <c r="AV39" s="11">
        <f t="shared" si="13"/>
        <v>5832902775</v>
      </c>
      <c r="AW39" s="57">
        <f t="shared" si="13"/>
        <v>5343525949.999999</v>
      </c>
      <c r="AX39" s="57">
        <f t="shared" si="13"/>
        <v>5577113809.75</v>
      </c>
      <c r="AY39" s="57">
        <f t="shared" si="13"/>
        <v>5368273750</v>
      </c>
      <c r="AZ39" s="57">
        <f t="shared" si="13"/>
        <v>5311282637.5</v>
      </c>
      <c r="BA39" s="57">
        <f t="shared" si="13"/>
        <v>5570950000</v>
      </c>
      <c r="BB39" s="57">
        <f>BB38*1000000*0.0875</f>
        <v>5570950000</v>
      </c>
      <c r="BC39" s="57">
        <f>BC38*1000000*0.0875</f>
        <v>5570950000</v>
      </c>
      <c r="BD39" s="126">
        <f>BD38*1000000*0.0875</f>
        <v>5258750000</v>
      </c>
      <c r="BE39" s="126">
        <f>BE38*1000000*0.0875</f>
        <v>5069763172.1624994</v>
      </c>
    </row>
    <row r="41" spans="1:58" x14ac:dyDescent="0.25">
      <c r="BC41" s="127">
        <f>BC35+BC39</f>
        <v>19480130000</v>
      </c>
      <c r="BE41" s="73"/>
    </row>
    <row r="42" spans="1:58" x14ac:dyDescent="0.25">
      <c r="A42" s="130" t="s">
        <v>11</v>
      </c>
      <c r="B42" s="130"/>
      <c r="C42" s="10"/>
      <c r="BB42" s="66" t="s">
        <v>222</v>
      </c>
    </row>
    <row r="43" spans="1:58" x14ac:dyDescent="0.25">
      <c r="A43" s="7">
        <v>1</v>
      </c>
      <c r="B43" s="7" t="s">
        <v>223</v>
      </c>
    </row>
    <row r="44" spans="1:58" ht="14" x14ac:dyDescent="0.3">
      <c r="A44" s="7">
        <v>2</v>
      </c>
      <c r="B44" s="111" t="s">
        <v>224</v>
      </c>
    </row>
    <row r="45" spans="1:58" x14ac:dyDescent="0.25">
      <c r="A45" s="7">
        <v>3</v>
      </c>
      <c r="B45" s="7" t="s">
        <v>224</v>
      </c>
    </row>
    <row r="46" spans="1:58" x14ac:dyDescent="0.25">
      <c r="A46" s="7">
        <v>4</v>
      </c>
      <c r="B46" s="7" t="s">
        <v>224</v>
      </c>
    </row>
    <row r="47" spans="1:58" x14ac:dyDescent="0.25">
      <c r="A47" s="7">
        <v>5</v>
      </c>
      <c r="B47" s="7" t="s">
        <v>224</v>
      </c>
    </row>
    <row r="48" spans="1:58" x14ac:dyDescent="0.25">
      <c r="A48" s="7">
        <v>6</v>
      </c>
      <c r="B48" s="7" t="s">
        <v>224</v>
      </c>
    </row>
    <row r="49" spans="1:2" x14ac:dyDescent="0.25">
      <c r="A49" s="7">
        <v>7</v>
      </c>
      <c r="B49" s="7" t="s">
        <v>224</v>
      </c>
    </row>
    <row r="50" spans="1:2" x14ac:dyDescent="0.25">
      <c r="A50" s="7">
        <v>8</v>
      </c>
      <c r="B50" s="7" t="s">
        <v>225</v>
      </c>
    </row>
    <row r="51" spans="1:2" x14ac:dyDescent="0.25">
      <c r="A51" s="7">
        <v>9</v>
      </c>
      <c r="B51" s="7" t="s">
        <v>225</v>
      </c>
    </row>
    <row r="52" spans="1:2" x14ac:dyDescent="0.25">
      <c r="A52" s="7">
        <v>10</v>
      </c>
      <c r="B52" s="7" t="s">
        <v>225</v>
      </c>
    </row>
    <row r="53" spans="1:2" x14ac:dyDescent="0.25">
      <c r="A53" s="7">
        <v>11</v>
      </c>
      <c r="B53" s="7" t="s">
        <v>226</v>
      </c>
    </row>
    <row r="54" spans="1:2" x14ac:dyDescent="0.25">
      <c r="A54" s="7">
        <v>12</v>
      </c>
      <c r="B54" s="7" t="s">
        <v>226</v>
      </c>
    </row>
    <row r="55" spans="1:2" x14ac:dyDescent="0.25">
      <c r="A55" s="7">
        <v>13</v>
      </c>
      <c r="B55" s="7" t="s">
        <v>226</v>
      </c>
    </row>
    <row r="56" spans="1:2" x14ac:dyDescent="0.25">
      <c r="A56" s="7">
        <v>14</v>
      </c>
      <c r="B56" s="7" t="s">
        <v>227</v>
      </c>
    </row>
    <row r="57" spans="1:2" x14ac:dyDescent="0.25">
      <c r="A57" s="7">
        <v>15</v>
      </c>
      <c r="B57" s="7" t="s">
        <v>228</v>
      </c>
    </row>
    <row r="58" spans="1:2" ht="14" x14ac:dyDescent="0.3">
      <c r="A58" s="7">
        <v>16</v>
      </c>
      <c r="B58" s="111" t="s">
        <v>224</v>
      </c>
    </row>
    <row r="59" spans="1:2" x14ac:dyDescent="0.25">
      <c r="A59" s="7">
        <v>17</v>
      </c>
      <c r="B59" s="7" t="s">
        <v>224</v>
      </c>
    </row>
    <row r="60" spans="1:2" x14ac:dyDescent="0.25">
      <c r="A60" s="7">
        <v>18</v>
      </c>
      <c r="B60" s="7" t="s">
        <v>229</v>
      </c>
    </row>
    <row r="61" spans="1:2" x14ac:dyDescent="0.25">
      <c r="A61" s="7">
        <v>19</v>
      </c>
      <c r="B61" s="7" t="s">
        <v>230</v>
      </c>
    </row>
    <row r="64" spans="1:2" x14ac:dyDescent="0.25">
      <c r="A64" s="135" t="s">
        <v>16</v>
      </c>
      <c r="B64" s="135"/>
    </row>
    <row r="65" spans="1:11" x14ac:dyDescent="0.25">
      <c r="A65" s="153" t="s">
        <v>231</v>
      </c>
      <c r="B65" s="153"/>
      <c r="C65" s="153"/>
    </row>
    <row r="68" spans="1:11" x14ac:dyDescent="0.25">
      <c r="A68" s="135" t="s">
        <v>18</v>
      </c>
      <c r="B68" s="135"/>
    </row>
    <row r="69" spans="1:11" s="128" customFormat="1" ht="226.5" customHeight="1" x14ac:dyDescent="0.25">
      <c r="A69" s="129" t="s">
        <v>232</v>
      </c>
      <c r="B69" s="129"/>
      <c r="C69" s="129"/>
      <c r="D69" s="15"/>
      <c r="E69" s="15"/>
      <c r="F69" s="15"/>
      <c r="G69" s="15"/>
      <c r="H69" s="15"/>
      <c r="I69" s="15"/>
      <c r="J69" s="15"/>
      <c r="K69" s="15"/>
    </row>
    <row r="72" spans="1:11" x14ac:dyDescent="0.25">
      <c r="A72" s="135" t="s">
        <v>21</v>
      </c>
      <c r="B72" s="135"/>
    </row>
    <row r="73" spans="1:11" ht="78" customHeight="1" x14ac:dyDescent="0.25">
      <c r="A73" s="129"/>
      <c r="B73" s="129"/>
      <c r="C73" s="129"/>
      <c r="D73" s="129"/>
      <c r="E73" s="129"/>
      <c r="F73" s="129"/>
      <c r="G73" s="129"/>
      <c r="H73" s="129"/>
      <c r="I73" s="129"/>
      <c r="J73" s="129"/>
      <c r="K73" s="129"/>
    </row>
    <row r="75" spans="1:11" x14ac:dyDescent="0.25">
      <c r="A75" s="135" t="s">
        <v>22</v>
      </c>
      <c r="B75" s="135"/>
    </row>
    <row r="76" spans="1:11" ht="110" customHeight="1" x14ac:dyDescent="0.25">
      <c r="A76" s="129"/>
      <c r="B76" s="129"/>
      <c r="C76" s="129"/>
      <c r="D76" s="129"/>
      <c r="E76" s="129"/>
      <c r="F76" s="129"/>
      <c r="G76" s="129"/>
      <c r="H76" s="129"/>
      <c r="I76" s="129"/>
      <c r="J76" s="129"/>
      <c r="K76" s="129"/>
    </row>
    <row r="78" spans="1:11" customFormat="1" x14ac:dyDescent="0.3"/>
    <row r="79" spans="1:11" customFormat="1" x14ac:dyDescent="0.3"/>
    <row r="80" spans="1:11" customFormat="1" ht="107" customHeight="1" x14ac:dyDescent="0.3"/>
    <row r="81" customFormat="1" x14ac:dyDescent="0.3"/>
    <row r="82" customFormat="1" x14ac:dyDescent="0.3"/>
    <row r="83" customFormat="1" ht="15.75" customHeight="1" x14ac:dyDescent="0.3"/>
    <row r="84" customFormat="1" x14ac:dyDescent="0.3"/>
    <row r="85" customFormat="1" x14ac:dyDescent="0.3"/>
    <row r="86" customFormat="1" x14ac:dyDescent="0.3"/>
    <row r="87" customFormat="1" x14ac:dyDescent="0.3"/>
    <row r="88" customFormat="1" x14ac:dyDescent="0.3"/>
    <row r="89" customFormat="1" x14ac:dyDescent="0.3"/>
  </sheetData>
  <mergeCells count="11">
    <mergeCell ref="A68:B68"/>
    <mergeCell ref="A10:B10"/>
    <mergeCell ref="A19:B19"/>
    <mergeCell ref="A42:B42"/>
    <mergeCell ref="A64:B64"/>
    <mergeCell ref="A65:C65"/>
    <mergeCell ref="A69:C69"/>
    <mergeCell ref="A72:B72"/>
    <mergeCell ref="A73:K73"/>
    <mergeCell ref="A75:B75"/>
    <mergeCell ref="A76:K76"/>
  </mergeCells>
  <hyperlinks>
    <hyperlink ref="B44" r:id="rId1"/>
    <hyperlink ref="B58" r:id="rId2"/>
  </hyperlinks>
  <pageMargins left="0.75000000000000011" right="0.75000000000000011" top="1" bottom="1" header="0.5" footer="0.5"/>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C54ACA913CCC49891D767B31E79716" ma:contentTypeVersion="3" ma:contentTypeDescription="Create a new document." ma:contentTypeScope="" ma:versionID="5bc7d0316e76da3ceb0036fe09afc616">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83EC0D5-D999-464C-AAD1-3C9C7EBA5E6F}"/>
</file>

<file path=customXml/itemProps2.xml><?xml version="1.0" encoding="utf-8"?>
<ds:datastoreItem xmlns:ds="http://schemas.openxmlformats.org/officeDocument/2006/customXml" ds:itemID="{8B212731-0DB1-4485-A8E4-0BCA0FD7F66F}"/>
</file>

<file path=customXml/itemProps3.xml><?xml version="1.0" encoding="utf-8"?>
<ds:datastoreItem xmlns:ds="http://schemas.openxmlformats.org/officeDocument/2006/customXml" ds:itemID="{3D9F833B-9A15-4697-B815-2F02869C73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CostWaterPollu</vt:lpstr>
      <vt:lpstr>CostAirPollu</vt:lpstr>
      <vt:lpstr>CostNoisePollu</vt:lpstr>
      <vt:lpstr>CostWetlandChange</vt:lpstr>
      <vt:lpstr>CostFarmlandChange</vt:lpstr>
      <vt:lpstr>CostForestChange</vt:lpstr>
      <vt:lpstr>CostClimateChange</vt:lpstr>
      <vt:lpstr>CostOzoneDepletion</vt:lpstr>
      <vt:lpstr>CostNonrenewEnergy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Campbell, Elliott T</dc:creator>
  <cp:lastModifiedBy>Campbell, Elliott T</cp:lastModifiedBy>
  <dcterms:created xsi:type="dcterms:W3CDTF">2016-09-15T19:32:50Z</dcterms:created>
  <dcterms:modified xsi:type="dcterms:W3CDTF">2016-09-21T15:30:26Z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0x01010083C54ACA913CCC49891D767B31E79716</vt:lpwstr>
  </property>
</Properties>
</file>